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C39F66DC-67BA-4207-B89A-CC7419EA86ED}" xr6:coauthVersionLast="47" xr6:coauthVersionMax="47" xr10:uidLastSave="{00000000-0000-0000-0000-000000000000}"/>
  <workbookProtection workbookAlgorithmName="SHA-512" workbookHashValue="4eFosDTvzuadHdmrXPAa2pMJLrZjwhFBwBVTh/DiVXiz7KUfHLLZJ7wmeUUn1OnqB6ahCPKPeoQPQAfUEX39og==" workbookSaltValue="1yTUoruTyzUKMrMiFGEQ/A==" workbookSpinCount="100000" lockStructure="1"/>
  <bookViews>
    <workbookView xWindow="-120" yWindow="-120" windowWidth="20730" windowHeight="11040" activeTab="1" xr2:uid="{00000000-000D-0000-FFFF-FFFF00000000}"/>
  </bookViews>
  <sheets>
    <sheet name="SET SP Nataga" sheetId="1" r:id="rId1"/>
    <sheet name="01" sheetId="55" r:id="rId2"/>
    <sheet name="02" sheetId="56" r:id="rId3"/>
    <sheet name="03" sheetId="60" r:id="rId4"/>
    <sheet name="04" sheetId="61" r:id="rId5"/>
    <sheet name="05" sheetId="62" r:id="rId6"/>
    <sheet name="06" sheetId="36" r:id="rId7"/>
    <sheet name="07" sheetId="38" r:id="rId8"/>
    <sheet name="08" sheetId="58" r:id="rId9"/>
    <sheet name="09" sheetId="59" r:id="rId10"/>
    <sheet name="10" sheetId="63" r:id="rId11"/>
    <sheet name="11" sheetId="64" r:id="rId12"/>
    <sheet name="12" sheetId="65" r:id="rId13"/>
    <sheet name="13" sheetId="68" r:id="rId14"/>
    <sheet name="14" sheetId="66" r:id="rId15"/>
    <sheet name="NATAGA2020" sheetId="69" r:id="rId16"/>
  </sheets>
  <definedNames>
    <definedName name="_xlnm.Print_Area" localSheetId="15">NATAGA2020!$A$1:$G$95</definedName>
    <definedName name="_xlnm.Print_Titles" localSheetId="0">'SET SP Nataga'!$1:$7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69" l="1"/>
  <c r="F20" i="69"/>
  <c r="F16" i="69"/>
  <c r="F28" i="69" s="1"/>
  <c r="F14" i="69"/>
  <c r="F26" i="69" s="1"/>
  <c r="E23" i="69"/>
  <c r="E21" i="69"/>
  <c r="E17" i="69"/>
  <c r="E29" i="69" s="1"/>
  <c r="E15" i="69"/>
  <c r="E22" i="69"/>
  <c r="E20" i="69"/>
  <c r="E16" i="69"/>
  <c r="E14" i="69"/>
  <c r="E26" i="69" s="1"/>
  <c r="D23" i="69"/>
  <c r="D21" i="69"/>
  <c r="D17" i="69"/>
  <c r="D29" i="69" s="1"/>
  <c r="D15" i="69"/>
  <c r="D27" i="69" s="1"/>
  <c r="D22" i="69"/>
  <c r="D28" i="69" s="1"/>
  <c r="D20" i="69"/>
  <c r="E27" i="69"/>
  <c r="F27" i="69"/>
  <c r="G27" i="69"/>
  <c r="H27" i="69"/>
  <c r="I27" i="69"/>
  <c r="J27" i="69"/>
  <c r="K27" i="69"/>
  <c r="L27" i="69"/>
  <c r="M27" i="69"/>
  <c r="N27" i="69"/>
  <c r="G28" i="69"/>
  <c r="H28" i="69"/>
  <c r="I28" i="69"/>
  <c r="J28" i="69"/>
  <c r="K28" i="69"/>
  <c r="L28" i="69"/>
  <c r="M28" i="69"/>
  <c r="N28" i="69"/>
  <c r="F29" i="69"/>
  <c r="G29" i="69"/>
  <c r="H29" i="69"/>
  <c r="I29" i="69"/>
  <c r="J29" i="69"/>
  <c r="K29" i="69"/>
  <c r="L29" i="69"/>
  <c r="M29" i="69"/>
  <c r="N29" i="69"/>
  <c r="E30" i="69"/>
  <c r="F30" i="69"/>
  <c r="G30" i="69"/>
  <c r="H30" i="69"/>
  <c r="I30" i="69"/>
  <c r="J30" i="69"/>
  <c r="K30" i="69"/>
  <c r="L30" i="69"/>
  <c r="M30" i="69"/>
  <c r="N30" i="69"/>
  <c r="E31" i="69"/>
  <c r="F31" i="69"/>
  <c r="G31" i="69"/>
  <c r="H31" i="69"/>
  <c r="I31" i="69"/>
  <c r="J31" i="69"/>
  <c r="K31" i="69"/>
  <c r="L31" i="69"/>
  <c r="M31" i="69"/>
  <c r="N31" i="69"/>
  <c r="D30" i="69"/>
  <c r="D31" i="69"/>
  <c r="D26" i="69"/>
  <c r="G26" i="69"/>
  <c r="H26" i="69"/>
  <c r="I26" i="69"/>
  <c r="J26" i="69"/>
  <c r="K26" i="69"/>
  <c r="L26" i="69"/>
  <c r="M26" i="69"/>
  <c r="N26" i="69"/>
  <c r="D14" i="69"/>
  <c r="D16" i="69"/>
  <c r="G11" i="69"/>
  <c r="G10" i="69"/>
  <c r="F11" i="69"/>
  <c r="F10" i="69"/>
  <c r="D11" i="69"/>
  <c r="D10" i="69"/>
  <c r="E11" i="69"/>
  <c r="E10" i="69"/>
  <c r="P10" i="69" s="1"/>
  <c r="O57" i="69"/>
  <c r="P9" i="69"/>
  <c r="P38" i="69"/>
  <c r="O11" i="69"/>
  <c r="O10" i="69"/>
  <c r="O23" i="69"/>
  <c r="O21" i="69"/>
  <c r="O17" i="69"/>
  <c r="O15" i="69"/>
  <c r="O22" i="69"/>
  <c r="O20" i="69"/>
  <c r="O16" i="69"/>
  <c r="O14" i="69"/>
  <c r="E28" i="69" l="1"/>
  <c r="P57" i="69"/>
  <c r="P11" i="69" l="1"/>
  <c r="P12" i="69"/>
  <c r="P13" i="69"/>
  <c r="Q57" i="69" l="1"/>
  <c r="P15" i="69"/>
  <c r="P16" i="69"/>
  <c r="P17" i="69"/>
  <c r="P18" i="69"/>
  <c r="P19" i="69"/>
  <c r="P14" i="69"/>
  <c r="P60" i="69" l="1"/>
  <c r="P59" i="69"/>
  <c r="P58" i="69"/>
  <c r="E58" i="69"/>
  <c r="F58" i="69"/>
  <c r="G58" i="69"/>
  <c r="H58" i="69"/>
  <c r="I58" i="69"/>
  <c r="J58" i="69"/>
  <c r="K58" i="69"/>
  <c r="L58" i="69"/>
  <c r="M58" i="69"/>
  <c r="N58" i="69"/>
  <c r="E59" i="69"/>
  <c r="F59" i="69"/>
  <c r="G59" i="69"/>
  <c r="H59" i="69"/>
  <c r="I59" i="69"/>
  <c r="J59" i="69"/>
  <c r="K59" i="69"/>
  <c r="L59" i="69"/>
  <c r="M59" i="69"/>
  <c r="N59" i="69"/>
  <c r="E60" i="69"/>
  <c r="F60" i="69"/>
  <c r="G60" i="69"/>
  <c r="H60" i="69"/>
  <c r="I60" i="69"/>
  <c r="J60" i="69"/>
  <c r="K60" i="69"/>
  <c r="L60" i="69"/>
  <c r="M60" i="69"/>
  <c r="N60" i="69"/>
  <c r="E61" i="69"/>
  <c r="F61" i="69"/>
  <c r="G61" i="69"/>
  <c r="H61" i="69"/>
  <c r="I61" i="69"/>
  <c r="J61" i="69"/>
  <c r="K61" i="69"/>
  <c r="L61" i="69"/>
  <c r="M61" i="69"/>
  <c r="N61" i="69"/>
  <c r="E62" i="69"/>
  <c r="F62" i="69"/>
  <c r="G62" i="69"/>
  <c r="H62" i="69"/>
  <c r="I62" i="69"/>
  <c r="J62" i="69"/>
  <c r="K62" i="69"/>
  <c r="L62" i="69"/>
  <c r="M62" i="69"/>
  <c r="N62" i="69"/>
  <c r="E63" i="69"/>
  <c r="F63" i="69"/>
  <c r="G63" i="69"/>
  <c r="H63" i="69"/>
  <c r="I63" i="69"/>
  <c r="J63" i="69"/>
  <c r="K63" i="69"/>
  <c r="L63" i="69"/>
  <c r="M63" i="69"/>
  <c r="N63" i="69"/>
  <c r="D63" i="69"/>
  <c r="D61" i="69"/>
  <c r="K57" i="69" l="1"/>
  <c r="L66" i="69" l="1"/>
  <c r="L64" i="69"/>
  <c r="L65" i="69"/>
  <c r="L33" i="69"/>
  <c r="L32" i="69"/>
  <c r="L67" i="69" l="1"/>
  <c r="F66" i="69" l="1"/>
  <c r="E66" i="69"/>
  <c r="K65" i="69"/>
  <c r="J66" i="69"/>
  <c r="I64" i="69"/>
  <c r="H66" i="69"/>
  <c r="G66" i="69"/>
  <c r="J65" i="69"/>
  <c r="F64" i="69"/>
  <c r="K33" i="69"/>
  <c r="I66" i="69"/>
  <c r="K66" i="69"/>
  <c r="F32" i="69"/>
  <c r="G64" i="69"/>
  <c r="G65" i="69"/>
  <c r="H65" i="69"/>
  <c r="H64" i="69"/>
  <c r="I32" i="69"/>
  <c r="J32" i="69"/>
  <c r="K64" i="69"/>
  <c r="E65" i="69"/>
  <c r="E64" i="69"/>
  <c r="I33" i="69"/>
  <c r="J33" i="69"/>
  <c r="H33" i="69"/>
  <c r="G33" i="69"/>
  <c r="F33" i="69"/>
  <c r="E33" i="69"/>
  <c r="D57" i="69"/>
  <c r="K32" i="69" l="1"/>
  <c r="J67" i="69"/>
  <c r="I65" i="69"/>
  <c r="I67" i="69"/>
  <c r="J64" i="69"/>
  <c r="K67" i="69"/>
  <c r="F65" i="69"/>
  <c r="F67" i="69"/>
  <c r="H32" i="69"/>
  <c r="H67" i="69" s="1"/>
  <c r="G32" i="69"/>
  <c r="G67" i="69" s="1"/>
  <c r="E32" i="69"/>
  <c r="E67" i="69" s="1"/>
  <c r="D44" i="69"/>
  <c r="D43" i="69"/>
  <c r="D47" i="69"/>
  <c r="E46" i="69"/>
  <c r="F46" i="69"/>
  <c r="G46" i="69"/>
  <c r="H46" i="69"/>
  <c r="I46" i="69"/>
  <c r="J46" i="69"/>
  <c r="K46" i="69"/>
  <c r="L46" i="69"/>
  <c r="M46" i="69"/>
  <c r="N46" i="69"/>
  <c r="O46" i="69"/>
  <c r="D46" i="69"/>
  <c r="E70" i="69" l="1"/>
  <c r="F70" i="69"/>
  <c r="G70" i="69"/>
  <c r="H70" i="69"/>
  <c r="I70" i="69"/>
  <c r="J70" i="69"/>
  <c r="K70" i="69"/>
  <c r="L70" i="69"/>
  <c r="M70" i="69"/>
  <c r="N70" i="69"/>
  <c r="O70" i="69"/>
  <c r="D70" i="69"/>
  <c r="N3" i="69" l="1"/>
  <c r="O30" i="69"/>
  <c r="O26" i="69" l="1"/>
  <c r="A18" i="56" l="1"/>
  <c r="A18" i="60" s="1"/>
  <c r="A18" i="61" s="1"/>
  <c r="A18" i="62" s="1"/>
  <c r="A18" i="36" s="1"/>
  <c r="A18" i="38" s="1"/>
  <c r="A18" i="58" s="1"/>
  <c r="A18" i="59" s="1"/>
  <c r="A18" i="63" s="1"/>
  <c r="A18" i="64" s="1"/>
  <c r="A18" i="65" s="1"/>
  <c r="A18" i="68" s="1"/>
  <c r="A18" i="66" s="1"/>
  <c r="A15" i="56"/>
  <c r="A15" i="60" s="1"/>
  <c r="A15" i="61" s="1"/>
  <c r="A15" i="62" s="1"/>
  <c r="A15" i="36" s="1"/>
  <c r="A15" i="38" s="1"/>
  <c r="A15" i="58" s="1"/>
  <c r="A15" i="59" s="1"/>
  <c r="A15" i="63" s="1"/>
  <c r="A15" i="64" s="1"/>
  <c r="A15" i="65" s="1"/>
  <c r="A15" i="68" s="1"/>
  <c r="F20" i="55" l="1"/>
  <c r="D19" i="65"/>
  <c r="E19" i="65"/>
  <c r="F19" i="65"/>
  <c r="G19" i="65"/>
  <c r="H19" i="65"/>
  <c r="I19" i="65"/>
  <c r="J19" i="65"/>
  <c r="K19" i="65"/>
  <c r="L19" i="65"/>
  <c r="M19" i="65"/>
  <c r="N19" i="65"/>
  <c r="C19" i="65"/>
  <c r="G44" i="69" l="1"/>
  <c r="H44" i="69"/>
  <c r="I44" i="69"/>
  <c r="J44" i="69"/>
  <c r="K44" i="69"/>
  <c r="L44" i="69"/>
  <c r="M44" i="69"/>
  <c r="N44" i="69"/>
  <c r="O44" i="69"/>
  <c r="O28" i="69"/>
  <c r="O32" i="69" s="1"/>
  <c r="G43" i="69"/>
  <c r="N32" i="69" l="1"/>
  <c r="M32" i="69"/>
  <c r="D59" i="69" l="1"/>
  <c r="M64" i="69" l="1"/>
  <c r="N64" i="69"/>
  <c r="O27" i="69"/>
  <c r="M65" i="69"/>
  <c r="N65" i="69"/>
  <c r="O29" i="69"/>
  <c r="M66" i="69"/>
  <c r="N66" i="69"/>
  <c r="O31" i="69"/>
  <c r="N33" i="69" l="1"/>
  <c r="K37" i="69"/>
  <c r="O33" i="69"/>
  <c r="O37" i="69" s="1"/>
  <c r="M33" i="69"/>
  <c r="L37" i="69"/>
  <c r="E45" i="69"/>
  <c r="F45" i="69"/>
  <c r="G45" i="69"/>
  <c r="H45" i="69"/>
  <c r="I45" i="69"/>
  <c r="J45" i="69"/>
  <c r="K45" i="69"/>
  <c r="L45" i="69"/>
  <c r="M45" i="69"/>
  <c r="N45" i="69"/>
  <c r="O45" i="69"/>
  <c r="D45" i="69"/>
  <c r="C19" i="59"/>
  <c r="M16" i="1" s="1"/>
  <c r="M37" i="69" l="1"/>
  <c r="M67" i="69"/>
  <c r="N37" i="69"/>
  <c r="N67" i="69"/>
  <c r="J37" i="69"/>
  <c r="E37" i="69"/>
  <c r="I37" i="69"/>
  <c r="G37" i="69"/>
  <c r="H37" i="69"/>
  <c r="F37" i="69"/>
  <c r="C20" i="58" l="1"/>
  <c r="D69" i="69" l="1"/>
  <c r="H68" i="69" l="1"/>
  <c r="I68" i="69"/>
  <c r="J68" i="69"/>
  <c r="K68" i="69"/>
  <c r="L68" i="69"/>
  <c r="M68" i="69"/>
  <c r="N68" i="69"/>
  <c r="O68" i="69"/>
  <c r="H69" i="69"/>
  <c r="I69" i="69"/>
  <c r="J69" i="69"/>
  <c r="K69" i="69"/>
  <c r="L69" i="69"/>
  <c r="M69" i="69"/>
  <c r="N69" i="69"/>
  <c r="O69" i="69"/>
  <c r="D55" i="69" l="1"/>
  <c r="E55" i="69"/>
  <c r="F55" i="69"/>
  <c r="G55" i="69"/>
  <c r="H55" i="69"/>
  <c r="I55" i="69"/>
  <c r="J55" i="69"/>
  <c r="K55" i="69"/>
  <c r="L55" i="69"/>
  <c r="M55" i="69"/>
  <c r="N55" i="69"/>
  <c r="O55" i="69"/>
  <c r="J20" i="68"/>
  <c r="K20" i="68"/>
  <c r="L20" i="68"/>
  <c r="M20" i="68"/>
  <c r="N20" i="68"/>
  <c r="C20" i="64"/>
  <c r="K20" i="64"/>
  <c r="L20" i="64"/>
  <c r="M20" i="64"/>
  <c r="N20" i="64"/>
  <c r="J20" i="64"/>
  <c r="C20" i="38"/>
  <c r="D20" i="38"/>
  <c r="E20" i="38"/>
  <c r="F20" i="38"/>
  <c r="G20" i="38"/>
  <c r="H20" i="38"/>
  <c r="I20" i="38"/>
  <c r="J20" i="38"/>
  <c r="K20" i="38"/>
  <c r="L20" i="38"/>
  <c r="M20" i="38"/>
  <c r="N20" i="38"/>
  <c r="P55" i="69" l="1"/>
  <c r="M53" i="69"/>
  <c r="N53" i="69"/>
  <c r="O53" i="69"/>
  <c r="D20" i="68" l="1"/>
  <c r="E20" i="68"/>
  <c r="F20" i="68"/>
  <c r="G20" i="68"/>
  <c r="H20" i="68"/>
  <c r="I20" i="68"/>
  <c r="C20" i="68"/>
  <c r="D20" i="64"/>
  <c r="E20" i="64"/>
  <c r="F20" i="64"/>
  <c r="G20" i="64"/>
  <c r="H20" i="64"/>
  <c r="I20" i="64"/>
  <c r="D20" i="58"/>
  <c r="E20" i="58"/>
  <c r="F20" i="58"/>
  <c r="G20" i="58"/>
  <c r="H20" i="58"/>
  <c r="I20" i="58"/>
  <c r="I43" i="69" l="1"/>
  <c r="H21" i="55"/>
  <c r="H20" i="60" l="1"/>
  <c r="F43" i="69"/>
  <c r="E47" i="69"/>
  <c r="E44" i="69"/>
  <c r="D20" i="66"/>
  <c r="E20" i="66"/>
  <c r="F20" i="66"/>
  <c r="G20" i="66"/>
  <c r="H20" i="66"/>
  <c r="I20" i="66"/>
  <c r="J20" i="66"/>
  <c r="K20" i="66"/>
  <c r="L20" i="66"/>
  <c r="M20" i="66"/>
  <c r="N20" i="66"/>
  <c r="K20" i="63"/>
  <c r="L20" i="63"/>
  <c r="M20" i="63"/>
  <c r="N20" i="63"/>
  <c r="K21" i="63"/>
  <c r="L21" i="63"/>
  <c r="M21" i="63"/>
  <c r="M19" i="63" s="1"/>
  <c r="W17" i="1" s="1"/>
  <c r="N21" i="63"/>
  <c r="N19" i="63" s="1"/>
  <c r="X17" i="1" s="1"/>
  <c r="E19" i="59"/>
  <c r="O16" i="1" s="1"/>
  <c r="F19" i="59"/>
  <c r="G19" i="59"/>
  <c r="Q16" i="1" s="1"/>
  <c r="H19" i="59"/>
  <c r="R16" i="1" s="1"/>
  <c r="I19" i="59"/>
  <c r="S16" i="1" s="1"/>
  <c r="J19" i="59"/>
  <c r="K19" i="59"/>
  <c r="L19" i="59"/>
  <c r="V16" i="1" s="1"/>
  <c r="M19" i="59"/>
  <c r="W16" i="1" s="1"/>
  <c r="N19" i="59"/>
  <c r="D19" i="59"/>
  <c r="N16" i="1" s="1"/>
  <c r="K20" i="36"/>
  <c r="L20" i="36"/>
  <c r="M20" i="36"/>
  <c r="N20" i="36"/>
  <c r="K20" i="62"/>
  <c r="K21" i="68" s="1"/>
  <c r="K19" i="68" s="1"/>
  <c r="U20" i="1" s="1"/>
  <c r="L20" i="62"/>
  <c r="L21" i="68" s="1"/>
  <c r="L19" i="68" s="1"/>
  <c r="V20" i="1" s="1"/>
  <c r="M20" i="62"/>
  <c r="M21" i="58" s="1"/>
  <c r="N20" i="62"/>
  <c r="N21" i="68" s="1"/>
  <c r="N19" i="68" s="1"/>
  <c r="X20" i="1" s="1"/>
  <c r="K21" i="62"/>
  <c r="K21" i="36" s="1"/>
  <c r="K19" i="36" s="1"/>
  <c r="U13" i="1" s="1"/>
  <c r="L21" i="62"/>
  <c r="L21" i="36" s="1"/>
  <c r="L19" i="36" s="1"/>
  <c r="V13" i="1" s="1"/>
  <c r="M21" i="62"/>
  <c r="M21" i="36" s="1"/>
  <c r="M19" i="36" s="1"/>
  <c r="W13" i="1" s="1"/>
  <c r="N21" i="62"/>
  <c r="N21" i="36" s="1"/>
  <c r="N19" i="36" s="1"/>
  <c r="X13" i="1" s="1"/>
  <c r="K20" i="55"/>
  <c r="L20" i="55"/>
  <c r="M20" i="55"/>
  <c r="N20" i="55"/>
  <c r="K21" i="55"/>
  <c r="K21" i="60" s="1"/>
  <c r="L21" i="55"/>
  <c r="L21" i="60" s="1"/>
  <c r="M21" i="55"/>
  <c r="M21" i="60" s="1"/>
  <c r="N21" i="55"/>
  <c r="N21" i="60" s="1"/>
  <c r="C20" i="66"/>
  <c r="O20" i="59"/>
  <c r="O19" i="59" s="1"/>
  <c r="L16" i="1" s="1"/>
  <c r="D21" i="38"/>
  <c r="H21" i="38"/>
  <c r="K21" i="38"/>
  <c r="K21" i="66" s="1"/>
  <c r="L21" i="38"/>
  <c r="L21" i="66" s="1"/>
  <c r="M21" i="38"/>
  <c r="M21" i="66" s="1"/>
  <c r="O18" i="66"/>
  <c r="N18" i="66" s="1"/>
  <c r="O17" i="66"/>
  <c r="C17" i="66" s="1"/>
  <c r="O18" i="68"/>
  <c r="C18" i="68" s="1"/>
  <c r="O17" i="68"/>
  <c r="C17" i="68" s="1"/>
  <c r="O18" i="65"/>
  <c r="J18" i="65" s="1"/>
  <c r="O17" i="65"/>
  <c r="C17" i="65" s="1"/>
  <c r="O18" i="64"/>
  <c r="J18" i="64" s="1"/>
  <c r="O17" i="64"/>
  <c r="C17" i="64" s="1"/>
  <c r="O18" i="63"/>
  <c r="E18" i="63" s="1"/>
  <c r="O17" i="63"/>
  <c r="N17" i="63" s="1"/>
  <c r="O18" i="59"/>
  <c r="H18" i="59" s="1"/>
  <c r="O17" i="59"/>
  <c r="C17" i="59" s="1"/>
  <c r="O18" i="58"/>
  <c r="C18" i="58" s="1"/>
  <c r="O17" i="58"/>
  <c r="C17" i="58" s="1"/>
  <c r="O18" i="38"/>
  <c r="N18" i="38" s="1"/>
  <c r="O17" i="38"/>
  <c r="C17" i="38" s="1"/>
  <c r="O18" i="36"/>
  <c r="I18" i="36" s="1"/>
  <c r="O17" i="36"/>
  <c r="C17" i="36" s="1"/>
  <c r="O18" i="62"/>
  <c r="C18" i="62" s="1"/>
  <c r="O17" i="62"/>
  <c r="C17" i="62" s="1"/>
  <c r="O18" i="61"/>
  <c r="H11" i="61" s="1"/>
  <c r="O17" i="61"/>
  <c r="C17" i="61" s="1"/>
  <c r="O18" i="60"/>
  <c r="J18" i="60" s="1"/>
  <c r="O17" i="60"/>
  <c r="C17" i="60" s="1"/>
  <c r="O18" i="56"/>
  <c r="K18" i="56" s="1"/>
  <c r="O17" i="56"/>
  <c r="C17" i="56" s="1"/>
  <c r="O18" i="55"/>
  <c r="K18" i="55" s="1"/>
  <c r="O17" i="55"/>
  <c r="C17" i="55" s="1"/>
  <c r="J21" i="63"/>
  <c r="I21" i="63"/>
  <c r="H21" i="63"/>
  <c r="G21" i="63"/>
  <c r="F21" i="63"/>
  <c r="E21" i="63"/>
  <c r="D21" i="63"/>
  <c r="C21" i="63"/>
  <c r="J20" i="63"/>
  <c r="I20" i="63"/>
  <c r="H20" i="63"/>
  <c r="G20" i="63"/>
  <c r="F20" i="63"/>
  <c r="E20" i="63"/>
  <c r="D20" i="63"/>
  <c r="C20" i="63"/>
  <c r="J20" i="36"/>
  <c r="I20" i="36"/>
  <c r="H20" i="36"/>
  <c r="G20" i="36"/>
  <c r="F20" i="36"/>
  <c r="E20" i="36"/>
  <c r="D20" i="36"/>
  <c r="C20" i="36"/>
  <c r="J21" i="62"/>
  <c r="H21" i="62"/>
  <c r="H21" i="36" s="1"/>
  <c r="C21" i="62"/>
  <c r="C21" i="36" s="1"/>
  <c r="J20" i="62"/>
  <c r="J21" i="58" s="1"/>
  <c r="J20" i="58" s="1"/>
  <c r="J19" i="58" s="1"/>
  <c r="T15" i="1" s="1"/>
  <c r="I20" i="62"/>
  <c r="I21" i="58" s="1"/>
  <c r="H20" i="62"/>
  <c r="H21" i="58" s="1"/>
  <c r="G20" i="62"/>
  <c r="G21" i="58" s="1"/>
  <c r="F20" i="62"/>
  <c r="F21" i="68" s="1"/>
  <c r="F19" i="68" s="1"/>
  <c r="P20" i="1" s="1"/>
  <c r="E20" i="62"/>
  <c r="E21" i="58" s="1"/>
  <c r="E19" i="58" s="1"/>
  <c r="O15" i="1" s="1"/>
  <c r="D20" i="62"/>
  <c r="D21" i="68" s="1"/>
  <c r="D19" i="68" s="1"/>
  <c r="N20" i="1" s="1"/>
  <c r="C20" i="62"/>
  <c r="C21" i="68" s="1"/>
  <c r="C19" i="68" s="1"/>
  <c r="M20" i="1" s="1"/>
  <c r="G69" i="69"/>
  <c r="F69" i="69"/>
  <c r="E69" i="69"/>
  <c r="G68" i="69"/>
  <c r="F68" i="69"/>
  <c r="E68" i="69"/>
  <c r="D68" i="69"/>
  <c r="O63" i="69"/>
  <c r="O62" i="69"/>
  <c r="O61" i="69"/>
  <c r="O60" i="69"/>
  <c r="D60" i="69"/>
  <c r="O59" i="69"/>
  <c r="O58" i="69"/>
  <c r="N57" i="69"/>
  <c r="M57" i="69"/>
  <c r="L57" i="69"/>
  <c r="J57" i="69"/>
  <c r="I57" i="69"/>
  <c r="H57" i="69"/>
  <c r="G57" i="69"/>
  <c r="F57" i="69"/>
  <c r="E57" i="69"/>
  <c r="O54" i="69"/>
  <c r="N54" i="69"/>
  <c r="M54" i="69"/>
  <c r="L54" i="69"/>
  <c r="K54" i="69"/>
  <c r="I54" i="69"/>
  <c r="D54" i="69"/>
  <c r="L53" i="69"/>
  <c r="K53" i="69"/>
  <c r="I53" i="69"/>
  <c r="D53" i="69"/>
  <c r="P53" i="69" s="1"/>
  <c r="D52" i="69"/>
  <c r="O47" i="69"/>
  <c r="N47" i="69"/>
  <c r="N49" i="69" s="1"/>
  <c r="M47" i="69"/>
  <c r="L47" i="69"/>
  <c r="O43" i="69"/>
  <c r="N43" i="69"/>
  <c r="M43" i="69"/>
  <c r="L43" i="69"/>
  <c r="D42" i="69"/>
  <c r="H21" i="56"/>
  <c r="H47" i="69"/>
  <c r="H20" i="55"/>
  <c r="D20" i="55"/>
  <c r="D21" i="62"/>
  <c r="E52" i="69"/>
  <c r="C21" i="55"/>
  <c r="C21" i="60" s="1"/>
  <c r="C22" i="60" s="1"/>
  <c r="G21" i="55"/>
  <c r="G21" i="60" s="1"/>
  <c r="C20" i="55"/>
  <c r="G20" i="55"/>
  <c r="D62" i="69"/>
  <c r="H21" i="60"/>
  <c r="H20" i="56"/>
  <c r="E21" i="62"/>
  <c r="E21" i="36" s="1"/>
  <c r="J43" i="69"/>
  <c r="J48" i="69" s="1"/>
  <c r="I21" i="55"/>
  <c r="I21" i="60" s="1"/>
  <c r="I20" i="55"/>
  <c r="I21" i="62"/>
  <c r="I21" i="36" s="1"/>
  <c r="K43" i="69"/>
  <c r="J21" i="55"/>
  <c r="J21" i="60" s="1"/>
  <c r="J20" i="55"/>
  <c r="E53" i="69"/>
  <c r="E54" i="69"/>
  <c r="H43" i="69"/>
  <c r="I47" i="69"/>
  <c r="F54" i="69"/>
  <c r="F53" i="69"/>
  <c r="F21" i="62"/>
  <c r="F21" i="36" s="1"/>
  <c r="J47" i="69"/>
  <c r="J53" i="69"/>
  <c r="J54" i="69"/>
  <c r="G47" i="69"/>
  <c r="K47" i="69"/>
  <c r="G54" i="69"/>
  <c r="G53" i="69"/>
  <c r="G21" i="62"/>
  <c r="H53" i="69"/>
  <c r="H54" i="69"/>
  <c r="X19" i="1"/>
  <c r="W19" i="1"/>
  <c r="V19" i="1"/>
  <c r="U19" i="1"/>
  <c r="R19" i="1"/>
  <c r="Q19" i="1"/>
  <c r="P19" i="1"/>
  <c r="N19" i="1"/>
  <c r="M19" i="1"/>
  <c r="C19" i="64"/>
  <c r="M18" i="1" s="1"/>
  <c r="D19" i="64"/>
  <c r="N18" i="1" s="1"/>
  <c r="E19" i="64"/>
  <c r="O18" i="1" s="1"/>
  <c r="F19" i="64"/>
  <c r="P18" i="1" s="1"/>
  <c r="G19" i="64"/>
  <c r="Q18" i="1" s="1"/>
  <c r="H19" i="64"/>
  <c r="R18" i="1" s="1"/>
  <c r="I19" i="64"/>
  <c r="S18" i="1" s="1"/>
  <c r="J19" i="64"/>
  <c r="T18" i="1" s="1"/>
  <c r="K19" i="64"/>
  <c r="U18" i="1" s="1"/>
  <c r="L19" i="64"/>
  <c r="V18" i="1" s="1"/>
  <c r="M19" i="64"/>
  <c r="W18" i="1" s="1"/>
  <c r="N19" i="64"/>
  <c r="X18" i="1" s="1"/>
  <c r="F7" i="66"/>
  <c r="F7" i="65"/>
  <c r="F7" i="64"/>
  <c r="F7" i="63"/>
  <c r="I11" i="60"/>
  <c r="O20" i="64"/>
  <c r="O19" i="64" s="1"/>
  <c r="L18" i="1" s="1"/>
  <c r="C21" i="61"/>
  <c r="D21" i="61" s="1"/>
  <c r="E21" i="61" s="1"/>
  <c r="O20" i="61"/>
  <c r="L24" i="63"/>
  <c r="H24" i="63"/>
  <c r="D24" i="63"/>
  <c r="L24" i="66"/>
  <c r="H24" i="66"/>
  <c r="D24" i="66"/>
  <c r="L24" i="68"/>
  <c r="H24" i="68"/>
  <c r="D24" i="68"/>
  <c r="L24" i="65"/>
  <c r="H24" i="65"/>
  <c r="D24" i="65"/>
  <c r="L24" i="64"/>
  <c r="H24" i="64"/>
  <c r="D24" i="64"/>
  <c r="I11" i="68"/>
  <c r="F11" i="68"/>
  <c r="A11" i="68"/>
  <c r="G8" i="68"/>
  <c r="F7" i="68"/>
  <c r="F6" i="68"/>
  <c r="O20" i="68"/>
  <c r="F5" i="68"/>
  <c r="I11" i="66"/>
  <c r="F11" i="66"/>
  <c r="A11" i="66"/>
  <c r="O19" i="1"/>
  <c r="S19" i="1"/>
  <c r="I11" i="65"/>
  <c r="F11" i="65"/>
  <c r="A11" i="65"/>
  <c r="I11" i="64"/>
  <c r="F11" i="64"/>
  <c r="A11" i="64"/>
  <c r="I11" i="63"/>
  <c r="F11" i="63"/>
  <c r="A11" i="63"/>
  <c r="F6" i="66"/>
  <c r="F6" i="65"/>
  <c r="F6" i="64"/>
  <c r="F6" i="63"/>
  <c r="G8" i="66"/>
  <c r="G8" i="65"/>
  <c r="G8" i="64"/>
  <c r="G8" i="63"/>
  <c r="F5" i="66"/>
  <c r="O20" i="65"/>
  <c r="O19" i="65" s="1"/>
  <c r="L19" i="1" s="1"/>
  <c r="T19" i="1"/>
  <c r="F5" i="65"/>
  <c r="N18" i="64"/>
  <c r="N17" i="64"/>
  <c r="M17" i="64"/>
  <c r="L17" i="64"/>
  <c r="K17" i="64"/>
  <c r="J17" i="64"/>
  <c r="I17" i="64"/>
  <c r="H17" i="64"/>
  <c r="G17" i="64"/>
  <c r="F17" i="64"/>
  <c r="E17" i="64"/>
  <c r="D17" i="64"/>
  <c r="F5" i="64"/>
  <c r="F5" i="63"/>
  <c r="F7" i="59"/>
  <c r="F7" i="58"/>
  <c r="F7" i="38"/>
  <c r="F7" i="36"/>
  <c r="F7" i="62"/>
  <c r="F7" i="61"/>
  <c r="F7" i="60"/>
  <c r="F7" i="56"/>
  <c r="F7" i="55"/>
  <c r="F5" i="59"/>
  <c r="F5" i="58"/>
  <c r="F5" i="38"/>
  <c r="F5" i="36"/>
  <c r="F5" i="62"/>
  <c r="F5" i="61"/>
  <c r="F5" i="60"/>
  <c r="F5" i="56"/>
  <c r="F5" i="55"/>
  <c r="L24" i="62"/>
  <c r="H24" i="62"/>
  <c r="D24" i="62"/>
  <c r="I11" i="62"/>
  <c r="F11" i="62"/>
  <c r="A11" i="62"/>
  <c r="G8" i="62"/>
  <c r="F6" i="62"/>
  <c r="N17" i="62"/>
  <c r="M17" i="62"/>
  <c r="L17" i="62"/>
  <c r="K17" i="62"/>
  <c r="J17" i="62"/>
  <c r="I17" i="62"/>
  <c r="H17" i="62"/>
  <c r="G17" i="62"/>
  <c r="F17" i="62"/>
  <c r="E17" i="62"/>
  <c r="D17" i="62"/>
  <c r="L25" i="61"/>
  <c r="H25" i="61"/>
  <c r="D25" i="61"/>
  <c r="I11" i="61"/>
  <c r="F11" i="61"/>
  <c r="A11" i="61"/>
  <c r="G8" i="61"/>
  <c r="F6" i="61"/>
  <c r="L25" i="60"/>
  <c r="H25" i="60"/>
  <c r="D25" i="60"/>
  <c r="F11" i="60"/>
  <c r="A11" i="60"/>
  <c r="G8" i="60"/>
  <c r="F6" i="60"/>
  <c r="E18" i="61"/>
  <c r="N17" i="60"/>
  <c r="L17" i="60"/>
  <c r="J17" i="60"/>
  <c r="H17" i="60"/>
  <c r="F17" i="60"/>
  <c r="D17" i="60"/>
  <c r="L24" i="59"/>
  <c r="H24" i="59"/>
  <c r="D24" i="59"/>
  <c r="I11" i="59"/>
  <c r="F11" i="59"/>
  <c r="A11" i="59"/>
  <c r="G8" i="59"/>
  <c r="F6" i="59"/>
  <c r="X16" i="1"/>
  <c r="U16" i="1"/>
  <c r="T16" i="1"/>
  <c r="P16" i="1"/>
  <c r="K18" i="59"/>
  <c r="N17" i="59"/>
  <c r="M17" i="59"/>
  <c r="K17" i="59"/>
  <c r="J17" i="59"/>
  <c r="I17" i="59"/>
  <c r="G17" i="59"/>
  <c r="F17" i="59"/>
  <c r="E17" i="59"/>
  <c r="L24" i="58"/>
  <c r="H24" i="58"/>
  <c r="D24" i="58"/>
  <c r="I11" i="58"/>
  <c r="F11" i="58"/>
  <c r="A11" i="58"/>
  <c r="G8" i="58"/>
  <c r="F6" i="58"/>
  <c r="L18" i="58"/>
  <c r="L24" i="56"/>
  <c r="H24" i="56"/>
  <c r="D24" i="56"/>
  <c r="I11" i="56"/>
  <c r="F11" i="56"/>
  <c r="A11" i="56"/>
  <c r="G8" i="56"/>
  <c r="F6" i="56"/>
  <c r="M18" i="56"/>
  <c r="L24" i="55"/>
  <c r="H24" i="55"/>
  <c r="D24" i="55"/>
  <c r="I11" i="55"/>
  <c r="F11" i="55"/>
  <c r="A11" i="55"/>
  <c r="G8" i="55"/>
  <c r="F6" i="55"/>
  <c r="N18" i="55"/>
  <c r="N17" i="55"/>
  <c r="M17" i="55"/>
  <c r="L17" i="55"/>
  <c r="K17" i="55"/>
  <c r="J17" i="55"/>
  <c r="I17" i="55"/>
  <c r="H17" i="55"/>
  <c r="G17" i="55"/>
  <c r="F17" i="55"/>
  <c r="E17" i="55"/>
  <c r="D17" i="55"/>
  <c r="H11" i="55"/>
  <c r="G8" i="38"/>
  <c r="G8" i="36"/>
  <c r="L24" i="38"/>
  <c r="H24" i="38"/>
  <c r="D24" i="38"/>
  <c r="I11" i="38"/>
  <c r="F11" i="38"/>
  <c r="A11" i="38"/>
  <c r="F6" i="38"/>
  <c r="M18" i="38"/>
  <c r="I18" i="38"/>
  <c r="F18" i="38"/>
  <c r="E18" i="38"/>
  <c r="N17" i="38"/>
  <c r="M17" i="38"/>
  <c r="L17" i="38"/>
  <c r="K17" i="38"/>
  <c r="J17" i="38"/>
  <c r="I17" i="38"/>
  <c r="H17" i="38"/>
  <c r="G17" i="38"/>
  <c r="F17" i="38"/>
  <c r="E17" i="38"/>
  <c r="D17" i="38"/>
  <c r="L24" i="36"/>
  <c r="H24" i="36"/>
  <c r="D24" i="36"/>
  <c r="I11" i="36"/>
  <c r="F11" i="36"/>
  <c r="A11" i="36"/>
  <c r="F6" i="36"/>
  <c r="P54" i="69" l="1"/>
  <c r="I18" i="61"/>
  <c r="J18" i="58"/>
  <c r="J18" i="38"/>
  <c r="F18" i="55"/>
  <c r="H11" i="59"/>
  <c r="K19" i="63"/>
  <c r="U17" i="1" s="1"/>
  <c r="M18" i="36"/>
  <c r="G18" i="55"/>
  <c r="D18" i="59"/>
  <c r="F18" i="60"/>
  <c r="H18" i="62"/>
  <c r="H18" i="68"/>
  <c r="L18" i="62"/>
  <c r="F18" i="64"/>
  <c r="L18" i="68"/>
  <c r="L18" i="59"/>
  <c r="D18" i="62"/>
  <c r="D18" i="68"/>
  <c r="J18" i="55"/>
  <c r="G18" i="59"/>
  <c r="H11" i="60"/>
  <c r="G18" i="60"/>
  <c r="K18" i="60"/>
  <c r="E19" i="36"/>
  <c r="O13" i="1" s="1"/>
  <c r="D19" i="62"/>
  <c r="N12" i="1" s="1"/>
  <c r="L19" i="63"/>
  <c r="V17" i="1" s="1"/>
  <c r="I19" i="36"/>
  <c r="S13" i="1" s="1"/>
  <c r="J19" i="62"/>
  <c r="T12" i="1" s="1"/>
  <c r="J19" i="63"/>
  <c r="T17" i="1" s="1"/>
  <c r="J21" i="68"/>
  <c r="J19" i="68" s="1"/>
  <c r="T20" i="1" s="1"/>
  <c r="I21" i="68"/>
  <c r="I19" i="68" s="1"/>
  <c r="S20" i="1" s="1"/>
  <c r="I18" i="63"/>
  <c r="G19" i="63"/>
  <c r="Q17" i="1" s="1"/>
  <c r="L19" i="55"/>
  <c r="V8" i="1" s="1"/>
  <c r="M19" i="55"/>
  <c r="W8" i="1" s="1"/>
  <c r="D21" i="36"/>
  <c r="D19" i="36" s="1"/>
  <c r="N13" i="1" s="1"/>
  <c r="M19" i="62"/>
  <c r="W12" i="1" s="1"/>
  <c r="O49" i="69"/>
  <c r="I19" i="63"/>
  <c r="S17" i="1" s="1"/>
  <c r="J49" i="69"/>
  <c r="E19" i="63"/>
  <c r="O17" i="1" s="1"/>
  <c r="F21" i="58"/>
  <c r="F19" i="58" s="1"/>
  <c r="P15" i="1" s="1"/>
  <c r="M18" i="63"/>
  <c r="D17" i="59"/>
  <c r="H17" i="59"/>
  <c r="L17" i="59"/>
  <c r="D18" i="58"/>
  <c r="E18" i="36"/>
  <c r="K18" i="36"/>
  <c r="E18" i="56"/>
  <c r="G18" i="56"/>
  <c r="M18" i="61"/>
  <c r="N18" i="65"/>
  <c r="K17" i="66"/>
  <c r="G18" i="36"/>
  <c r="I18" i="56"/>
  <c r="F18" i="58"/>
  <c r="N18" i="58"/>
  <c r="H11" i="56"/>
  <c r="H18" i="58"/>
  <c r="F18" i="66"/>
  <c r="F18" i="65"/>
  <c r="J18" i="66"/>
  <c r="J17" i="58"/>
  <c r="K19" i="62"/>
  <c r="U12" i="1" s="1"/>
  <c r="E17" i="36"/>
  <c r="J17" i="56"/>
  <c r="N17" i="56"/>
  <c r="N17" i="58"/>
  <c r="E17" i="65"/>
  <c r="I17" i="36"/>
  <c r="M17" i="36"/>
  <c r="G17" i="61"/>
  <c r="I17" i="65"/>
  <c r="K19" i="55"/>
  <c r="U8" i="1" s="1"/>
  <c r="F17" i="56"/>
  <c r="F17" i="58"/>
  <c r="K17" i="61"/>
  <c r="M17" i="65"/>
  <c r="G17" i="66"/>
  <c r="F17" i="36"/>
  <c r="J17" i="36"/>
  <c r="N17" i="36"/>
  <c r="G17" i="56"/>
  <c r="K17" i="56"/>
  <c r="G17" i="58"/>
  <c r="K17" i="58"/>
  <c r="D17" i="61"/>
  <c r="H17" i="61"/>
  <c r="L17" i="61"/>
  <c r="F17" i="63"/>
  <c r="F17" i="65"/>
  <c r="J17" i="65"/>
  <c r="N17" i="65"/>
  <c r="D17" i="66"/>
  <c r="H17" i="66"/>
  <c r="L17" i="66"/>
  <c r="H17" i="56"/>
  <c r="L17" i="56"/>
  <c r="D17" i="58"/>
  <c r="H17" i="58"/>
  <c r="L17" i="58"/>
  <c r="E17" i="61"/>
  <c r="I17" i="61"/>
  <c r="M17" i="61"/>
  <c r="G17" i="65"/>
  <c r="K17" i="65"/>
  <c r="E17" i="66"/>
  <c r="I17" i="66"/>
  <c r="M17" i="66"/>
  <c r="G17" i="36"/>
  <c r="K17" i="36"/>
  <c r="D17" i="56"/>
  <c r="D17" i="36"/>
  <c r="H17" i="36"/>
  <c r="L17" i="36"/>
  <c r="E17" i="56"/>
  <c r="I17" i="56"/>
  <c r="M17" i="56"/>
  <c r="E17" i="58"/>
  <c r="I17" i="58"/>
  <c r="M17" i="58"/>
  <c r="F17" i="61"/>
  <c r="J17" i="61"/>
  <c r="N17" i="61"/>
  <c r="D17" i="65"/>
  <c r="H17" i="65"/>
  <c r="L17" i="65"/>
  <c r="F17" i="66"/>
  <c r="J17" i="66"/>
  <c r="N17" i="66"/>
  <c r="I49" i="69"/>
  <c r="L18" i="61"/>
  <c r="C18" i="61"/>
  <c r="L18" i="36"/>
  <c r="C18" i="36"/>
  <c r="M18" i="65"/>
  <c r="C18" i="65"/>
  <c r="M18" i="66"/>
  <c r="C18" i="66"/>
  <c r="G19" i="55"/>
  <c r="Q8" i="1" s="1"/>
  <c r="C19" i="63"/>
  <c r="M17" i="1" s="1"/>
  <c r="C19" i="36"/>
  <c r="M13" i="1" s="1"/>
  <c r="M18" i="55"/>
  <c r="C18" i="55"/>
  <c r="L18" i="38"/>
  <c r="C18" i="38"/>
  <c r="N18" i="59"/>
  <c r="C18" i="59"/>
  <c r="M18" i="64"/>
  <c r="C18" i="64"/>
  <c r="E17" i="68"/>
  <c r="G17" i="68"/>
  <c r="I17" i="68"/>
  <c r="K17" i="68"/>
  <c r="M17" i="68"/>
  <c r="D17" i="68"/>
  <c r="F17" i="68"/>
  <c r="H17" i="68"/>
  <c r="J17" i="68"/>
  <c r="L17" i="68"/>
  <c r="N17" i="68"/>
  <c r="L18" i="63"/>
  <c r="C18" i="63"/>
  <c r="M17" i="63"/>
  <c r="C17" i="63"/>
  <c r="J17" i="63"/>
  <c r="N18" i="60"/>
  <c r="C18" i="60"/>
  <c r="E17" i="60"/>
  <c r="G17" i="60"/>
  <c r="I17" i="60"/>
  <c r="K17" i="60"/>
  <c r="M17" i="60"/>
  <c r="L18" i="56"/>
  <c r="C18" i="56"/>
  <c r="N19" i="62"/>
  <c r="X12" i="1" s="1"/>
  <c r="D21" i="58"/>
  <c r="D19" i="58" s="1"/>
  <c r="N15" i="1" s="1"/>
  <c r="G17" i="63"/>
  <c r="K17" i="63"/>
  <c r="F19" i="63"/>
  <c r="P17" i="1" s="1"/>
  <c r="D17" i="63"/>
  <c r="H17" i="63"/>
  <c r="L17" i="63"/>
  <c r="E17" i="63"/>
  <c r="I17" i="63"/>
  <c r="D33" i="69"/>
  <c r="H11" i="36"/>
  <c r="F18" i="36"/>
  <c r="J18" i="36"/>
  <c r="N18" i="36"/>
  <c r="N19" i="55"/>
  <c r="X8" i="1" s="1"/>
  <c r="F18" i="56"/>
  <c r="J18" i="56"/>
  <c r="N18" i="56"/>
  <c r="E18" i="58"/>
  <c r="I18" i="58"/>
  <c r="M18" i="58"/>
  <c r="F18" i="61"/>
  <c r="J18" i="61"/>
  <c r="N18" i="61"/>
  <c r="F18" i="63"/>
  <c r="J18" i="63"/>
  <c r="N18" i="63"/>
  <c r="H11" i="65"/>
  <c r="G18" i="65"/>
  <c r="K18" i="65"/>
  <c r="G18" i="66"/>
  <c r="K18" i="66"/>
  <c r="J21" i="36"/>
  <c r="J19" i="36" s="1"/>
  <c r="T13" i="1" s="1"/>
  <c r="D20" i="56"/>
  <c r="N21" i="38"/>
  <c r="N21" i="66" s="1"/>
  <c r="J21" i="38"/>
  <c r="J21" i="66" s="1"/>
  <c r="N21" i="58"/>
  <c r="G18" i="61"/>
  <c r="K18" i="61"/>
  <c r="E19" i="62"/>
  <c r="O12" i="1" s="1"/>
  <c r="H11" i="63"/>
  <c r="G18" i="63"/>
  <c r="K18" i="63"/>
  <c r="D18" i="65"/>
  <c r="H18" i="65"/>
  <c r="L18" i="65"/>
  <c r="D18" i="66"/>
  <c r="H18" i="66"/>
  <c r="L18" i="66"/>
  <c r="H11" i="66"/>
  <c r="E21" i="68"/>
  <c r="E19" i="68" s="1"/>
  <c r="O20" i="1" s="1"/>
  <c r="D18" i="36"/>
  <c r="H18" i="36"/>
  <c r="D18" i="56"/>
  <c r="H18" i="56"/>
  <c r="H11" i="58"/>
  <c r="G18" i="58"/>
  <c r="K18" i="58"/>
  <c r="D18" i="61"/>
  <c r="H18" i="61"/>
  <c r="D18" i="63"/>
  <c r="H18" i="63"/>
  <c r="E18" i="65"/>
  <c r="I18" i="65"/>
  <c r="E18" i="66"/>
  <c r="I18" i="66"/>
  <c r="F47" i="69"/>
  <c r="F49" i="69" s="1"/>
  <c r="M49" i="69"/>
  <c r="D58" i="69"/>
  <c r="E21" i="55"/>
  <c r="E21" i="60" s="1"/>
  <c r="F21" i="55"/>
  <c r="F21" i="60" s="1"/>
  <c r="M48" i="69"/>
  <c r="G19" i="62"/>
  <c r="Q12" i="1" s="1"/>
  <c r="G49" i="69"/>
  <c r="C19" i="61"/>
  <c r="M11" i="1" s="1"/>
  <c r="N21" i="56"/>
  <c r="K48" i="69"/>
  <c r="D66" i="69"/>
  <c r="F19" i="36"/>
  <c r="P13" i="1" s="1"/>
  <c r="K49" i="69"/>
  <c r="K20" i="56"/>
  <c r="L21" i="58"/>
  <c r="O48" i="69"/>
  <c r="N20" i="56"/>
  <c r="L49" i="69"/>
  <c r="O20" i="36"/>
  <c r="O20" i="63"/>
  <c r="I21" i="38"/>
  <c r="I19" i="38" s="1"/>
  <c r="S14" i="1" s="1"/>
  <c r="D19" i="63"/>
  <c r="N17" i="1" s="1"/>
  <c r="C21" i="38"/>
  <c r="C19" i="38" s="1"/>
  <c r="M14" i="1" s="1"/>
  <c r="M21" i="68"/>
  <c r="M19" i="68" s="1"/>
  <c r="W20" i="1" s="1"/>
  <c r="O20" i="38"/>
  <c r="F21" i="61"/>
  <c r="G21" i="61" s="1"/>
  <c r="H21" i="61" s="1"/>
  <c r="M20" i="58"/>
  <c r="M19" i="58" s="1"/>
  <c r="W15" i="1" s="1"/>
  <c r="G18" i="38"/>
  <c r="K18" i="38"/>
  <c r="H11" i="38"/>
  <c r="D18" i="55"/>
  <c r="H18" i="55"/>
  <c r="L18" i="55"/>
  <c r="E18" i="59"/>
  <c r="I18" i="59"/>
  <c r="M18" i="59"/>
  <c r="D18" i="60"/>
  <c r="H18" i="60"/>
  <c r="L18" i="60"/>
  <c r="E18" i="62"/>
  <c r="I18" i="62"/>
  <c r="M18" i="62"/>
  <c r="F19" i="62"/>
  <c r="P12" i="1" s="1"/>
  <c r="O20" i="62"/>
  <c r="H11" i="64"/>
  <c r="G18" i="64"/>
  <c r="K18" i="64"/>
  <c r="E18" i="68"/>
  <c r="I18" i="68"/>
  <c r="M18" i="68"/>
  <c r="C21" i="58"/>
  <c r="C19" i="58" s="1"/>
  <c r="M15" i="1" s="1"/>
  <c r="G21" i="36"/>
  <c r="G19" i="36" s="1"/>
  <c r="Q13" i="1" s="1"/>
  <c r="D19" i="61"/>
  <c r="N11" i="1" s="1"/>
  <c r="O64" i="69"/>
  <c r="D21" i="55"/>
  <c r="D49" i="69"/>
  <c r="L20" i="56"/>
  <c r="D21" i="56"/>
  <c r="D18" i="38"/>
  <c r="H18" i="38"/>
  <c r="E18" i="55"/>
  <c r="I18" i="55"/>
  <c r="C19" i="55"/>
  <c r="M8" i="1" s="1"/>
  <c r="J19" i="55"/>
  <c r="T8" i="1" s="1"/>
  <c r="I19" i="58"/>
  <c r="S15" i="1" s="1"/>
  <c r="F18" i="59"/>
  <c r="J18" i="59"/>
  <c r="E18" i="60"/>
  <c r="I18" i="60"/>
  <c r="M18" i="60"/>
  <c r="F18" i="62"/>
  <c r="J18" i="62"/>
  <c r="N18" i="62"/>
  <c r="L19" i="62"/>
  <c r="V12" i="1" s="1"/>
  <c r="D18" i="64"/>
  <c r="H18" i="64"/>
  <c r="L18" i="64"/>
  <c r="F18" i="68"/>
  <c r="J18" i="68"/>
  <c r="N18" i="68"/>
  <c r="G21" i="68"/>
  <c r="G19" i="68" s="1"/>
  <c r="Q20" i="1" s="1"/>
  <c r="I48" i="69"/>
  <c r="E20" i="55"/>
  <c r="E49" i="69"/>
  <c r="M21" i="56"/>
  <c r="M20" i="56"/>
  <c r="O66" i="69"/>
  <c r="G21" i="38"/>
  <c r="G21" i="66" s="1"/>
  <c r="K21" i="58"/>
  <c r="H11" i="62"/>
  <c r="G18" i="62"/>
  <c r="K18" i="62"/>
  <c r="E18" i="64"/>
  <c r="I18" i="64"/>
  <c r="H11" i="68"/>
  <c r="G18" i="68"/>
  <c r="K18" i="68"/>
  <c r="G48" i="69"/>
  <c r="F44" i="69"/>
  <c r="F48" i="69" s="1"/>
  <c r="E43" i="69"/>
  <c r="E48" i="69" s="1"/>
  <c r="F21" i="38"/>
  <c r="F21" i="66" s="1"/>
  <c r="I19" i="55"/>
  <c r="S8" i="1" s="1"/>
  <c r="I19" i="62"/>
  <c r="S12" i="1" s="1"/>
  <c r="K21" i="56"/>
  <c r="L48" i="69"/>
  <c r="I21" i="56"/>
  <c r="L21" i="56"/>
  <c r="O65" i="69"/>
  <c r="J21" i="56"/>
  <c r="C19" i="62"/>
  <c r="M12" i="1" s="1"/>
  <c r="E21" i="38"/>
  <c r="E21" i="66" s="1"/>
  <c r="N48" i="69"/>
  <c r="I20" i="56"/>
  <c r="G21" i="56"/>
  <c r="H19" i="56"/>
  <c r="R9" i="1" s="1"/>
  <c r="H19" i="55"/>
  <c r="R8" i="1" s="1"/>
  <c r="H19" i="62"/>
  <c r="R12" i="1" s="1"/>
  <c r="H19" i="58"/>
  <c r="R15" i="1" s="1"/>
  <c r="O21" i="62"/>
  <c r="H21" i="68"/>
  <c r="H19" i="68" s="1"/>
  <c r="R20" i="1" s="1"/>
  <c r="H19" i="36"/>
  <c r="R13" i="1" s="1"/>
  <c r="M19" i="38"/>
  <c r="W14" i="1" s="1"/>
  <c r="L19" i="38"/>
  <c r="V14" i="1" s="1"/>
  <c r="H21" i="66"/>
  <c r="H19" i="38"/>
  <c r="R14" i="1" s="1"/>
  <c r="D19" i="38"/>
  <c r="N14" i="1" s="1"/>
  <c r="D21" i="66"/>
  <c r="E19" i="61"/>
  <c r="O11" i="1" s="1"/>
  <c r="K19" i="38"/>
  <c r="U14" i="1" s="1"/>
  <c r="J20" i="56"/>
  <c r="E42" i="69"/>
  <c r="D65" i="69"/>
  <c r="H49" i="69"/>
  <c r="H19" i="63"/>
  <c r="R17" i="1" s="1"/>
  <c r="O21" i="63"/>
  <c r="G20" i="56"/>
  <c r="H48" i="69"/>
  <c r="K19" i="56" l="1"/>
  <c r="U9" i="1" s="1"/>
  <c r="I21" i="66"/>
  <c r="I19" i="66" s="1"/>
  <c r="S21" i="1" s="1"/>
  <c r="D19" i="56"/>
  <c r="N9" i="1" s="1"/>
  <c r="D48" i="69"/>
  <c r="C21" i="56"/>
  <c r="D32" i="69"/>
  <c r="N19" i="56"/>
  <c r="X9" i="1" s="1"/>
  <c r="M19" i="56"/>
  <c r="W9" i="1" s="1"/>
  <c r="L19" i="56"/>
  <c r="V9" i="1" s="1"/>
  <c r="F19" i="38"/>
  <c r="P14" i="1" s="1"/>
  <c r="O21" i="36"/>
  <c r="O19" i="36" s="1"/>
  <c r="L13" i="1" s="1"/>
  <c r="E20" i="56"/>
  <c r="E19" i="55"/>
  <c r="O8" i="1" s="1"/>
  <c r="N20" i="60"/>
  <c r="L20" i="60"/>
  <c r="M20" i="60"/>
  <c r="C20" i="56"/>
  <c r="D64" i="69"/>
  <c r="O21" i="58"/>
  <c r="F19" i="55"/>
  <c r="P8" i="1" s="1"/>
  <c r="J19" i="38"/>
  <c r="T14" i="1" s="1"/>
  <c r="O21" i="55"/>
  <c r="F21" i="56"/>
  <c r="N20" i="58"/>
  <c r="N19" i="58" s="1"/>
  <c r="X15" i="1" s="1"/>
  <c r="C21" i="66"/>
  <c r="G19" i="38"/>
  <c r="Q14" i="1" s="1"/>
  <c r="N19" i="38"/>
  <c r="X14" i="1" s="1"/>
  <c r="E19" i="38"/>
  <c r="O14" i="1" s="1"/>
  <c r="K20" i="60"/>
  <c r="O20" i="55"/>
  <c r="J20" i="60"/>
  <c r="J19" i="56"/>
  <c r="T9" i="1" s="1"/>
  <c r="O19" i="63"/>
  <c r="L17" i="1" s="1"/>
  <c r="O19" i="62"/>
  <c r="L12" i="1" s="1"/>
  <c r="I20" i="60"/>
  <c r="F42" i="69"/>
  <c r="F52" i="69"/>
  <c r="I21" i="61"/>
  <c r="J21" i="61" s="1"/>
  <c r="G20" i="60"/>
  <c r="F20" i="60"/>
  <c r="F20" i="56"/>
  <c r="L20" i="58"/>
  <c r="O21" i="38"/>
  <c r="O19" i="38" s="1"/>
  <c r="L14" i="1" s="1"/>
  <c r="K20" i="58"/>
  <c r="K19" i="58" s="1"/>
  <c r="U15" i="1" s="1"/>
  <c r="O67" i="69"/>
  <c r="E21" i="56"/>
  <c r="D21" i="60"/>
  <c r="D19" i="55"/>
  <c r="N8" i="1" s="1"/>
  <c r="I19" i="56"/>
  <c r="S9" i="1" s="1"/>
  <c r="O21" i="68"/>
  <c r="O19" i="68" s="1"/>
  <c r="L20" i="1" s="1"/>
  <c r="G42" i="69"/>
  <c r="G52" i="69"/>
  <c r="F19" i="61"/>
  <c r="P11" i="1" s="1"/>
  <c r="H19" i="66"/>
  <c r="R21" i="1" s="1"/>
  <c r="J19" i="66"/>
  <c r="T21" i="1" s="1"/>
  <c r="E19" i="66"/>
  <c r="O21" i="1" s="1"/>
  <c r="M19" i="66"/>
  <c r="W21" i="1" s="1"/>
  <c r="G19" i="58"/>
  <c r="Q15" i="1" s="1"/>
  <c r="G19" i="56"/>
  <c r="Q9" i="1" s="1"/>
  <c r="K19" i="66"/>
  <c r="U21" i="1" s="1"/>
  <c r="D19" i="66"/>
  <c r="N21" i="1" s="1"/>
  <c r="F19" i="66"/>
  <c r="P21" i="1" s="1"/>
  <c r="N19" i="66"/>
  <c r="X21" i="1" s="1"/>
  <c r="L19" i="66"/>
  <c r="V21" i="1" s="1"/>
  <c r="O21" i="66" l="1"/>
  <c r="D67" i="69"/>
  <c r="D37" i="69"/>
  <c r="C20" i="60" s="1"/>
  <c r="C19" i="60" s="1"/>
  <c r="M10" i="1" s="1"/>
  <c r="C19" i="56"/>
  <c r="M9" i="1" s="1"/>
  <c r="E19" i="56"/>
  <c r="O9" i="1" s="1"/>
  <c r="F19" i="56"/>
  <c r="P9" i="1" s="1"/>
  <c r="D20" i="60"/>
  <c r="C19" i="66"/>
  <c r="M21" i="1" s="1"/>
  <c r="O20" i="56"/>
  <c r="O20" i="58"/>
  <c r="O19" i="58" s="1"/>
  <c r="L15" i="1" s="1"/>
  <c r="O19" i="55"/>
  <c r="L8" i="1" s="1"/>
  <c r="L19" i="58"/>
  <c r="V15" i="1" s="1"/>
  <c r="K21" i="61"/>
  <c r="L21" i="61" s="1"/>
  <c r="M21" i="61" s="1"/>
  <c r="N21" i="61" s="1"/>
  <c r="O21" i="56"/>
  <c r="E20" i="60"/>
  <c r="D22" i="60"/>
  <c r="O21" i="60"/>
  <c r="O20" i="66"/>
  <c r="G19" i="61"/>
  <c r="Q11" i="1" s="1"/>
  <c r="H42" i="69"/>
  <c r="H52" i="69"/>
  <c r="G19" i="66"/>
  <c r="Q21" i="1" s="1"/>
  <c r="O19" i="66" l="1"/>
  <c r="L21" i="1" s="1"/>
  <c r="O20" i="60"/>
  <c r="O19" i="56"/>
  <c r="L9" i="1" s="1"/>
  <c r="O21" i="61"/>
  <c r="D19" i="60"/>
  <c r="N10" i="1" s="1"/>
  <c r="E22" i="60"/>
  <c r="I52" i="69"/>
  <c r="I42" i="69"/>
  <c r="H19" i="61"/>
  <c r="R11" i="1" s="1"/>
  <c r="F22" i="60" l="1"/>
  <c r="E19" i="60"/>
  <c r="O10" i="1" s="1"/>
  <c r="J52" i="69"/>
  <c r="J42" i="69"/>
  <c r="I19" i="61"/>
  <c r="S11" i="1" s="1"/>
  <c r="F19" i="60" l="1"/>
  <c r="P10" i="1" s="1"/>
  <c r="G22" i="60"/>
  <c r="J19" i="61"/>
  <c r="T11" i="1" s="1"/>
  <c r="K52" i="69"/>
  <c r="K42" i="69"/>
  <c r="H22" i="60" l="1"/>
  <c r="G19" i="60"/>
  <c r="Q10" i="1" s="1"/>
  <c r="L52" i="69"/>
  <c r="L42" i="69"/>
  <c r="K19" i="61"/>
  <c r="U11" i="1" s="1"/>
  <c r="I22" i="60" l="1"/>
  <c r="H19" i="60"/>
  <c r="R10" i="1" s="1"/>
  <c r="L19" i="61"/>
  <c r="V11" i="1" s="1"/>
  <c r="M52" i="69"/>
  <c r="M42" i="69"/>
  <c r="J22" i="60" l="1"/>
  <c r="I19" i="60"/>
  <c r="S10" i="1" s="1"/>
  <c r="N52" i="69"/>
  <c r="N42" i="69"/>
  <c r="M19" i="61"/>
  <c r="W11" i="1" s="1"/>
  <c r="J19" i="60" l="1"/>
  <c r="T10" i="1" s="1"/>
  <c r="K22" i="60"/>
  <c r="N19" i="61"/>
  <c r="X11" i="1" s="1"/>
  <c r="O22" i="61"/>
  <c r="O19" i="61" s="1"/>
  <c r="L11" i="1" s="1"/>
  <c r="O52" i="69"/>
  <c r="O42" i="69"/>
  <c r="L22" i="60" l="1"/>
  <c r="K19" i="60"/>
  <c r="U10" i="1" s="1"/>
  <c r="M22" i="60" l="1"/>
  <c r="L19" i="60"/>
  <c r="V10" i="1" s="1"/>
  <c r="M19" i="60" l="1"/>
  <c r="W10" i="1" s="1"/>
  <c r="N22" i="60"/>
  <c r="N19" i="60" s="1"/>
  <c r="X10" i="1" s="1"/>
  <c r="O22" i="60" l="1"/>
  <c r="O19" i="60" s="1"/>
  <c r="L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<sst xmlns="http://schemas.openxmlformats.org/spreadsheetml/2006/main" count="1212" uniqueCount="278">
  <si>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</si>
  <si>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</si>
  <si>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</si>
  <si>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</si>
  <si>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</si>
  <si>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</si>
  <si>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</si>
  <si>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</si>
  <si>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</si>
  <si>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</si>
  <si>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</si>
  <si>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</si>
  <si>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</si>
  <si>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</si>
  <si>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</si>
  <si>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</si>
  <si>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</si>
  <si>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</si>
  <si>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</si>
  <si>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</si>
  <si>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sz val="10"/>
        <rFont val="Tahoma"/>
        <family val="2"/>
      </rPr>
      <t xml:space="preserve">FORMATO: </t>
    </r>
    <r>
      <rPr>
        <b/>
        <sz val="10"/>
        <rFont val="Tahoma"/>
        <family val="2"/>
      </rPr>
      <t>MATRIZ DE REGISTRO Y MEDICIÓN DE INDICADORES</t>
    </r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</si>
  <si>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</si>
  <si>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</si>
  <si>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</si>
  <si>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</si>
  <si>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</si>
  <si>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</si>
  <si>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</si>
  <si>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</si>
  <si>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</si>
  <si>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</si>
  <si>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</si>
  <si>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</si>
  <si>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</si>
  <si>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</si>
  <si>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</si>
  <si>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</si>
  <si>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</si>
  <si>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</si>
  <si>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</si>
  <si>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</si>
  <si>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</si>
  <si>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</si>
  <si>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</si>
  <si>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>IN04</t>
  </si>
  <si>
    <t>IN05</t>
  </si>
  <si>
    <t>IN06</t>
  </si>
  <si>
    <t>IN07</t>
  </si>
  <si>
    <t>IN08</t>
  </si>
  <si>
    <t>IN09</t>
  </si>
  <si>
    <t>SET INDICADORES GESTIÓN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</si>
  <si>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</si>
  <si>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</si>
  <si>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</si>
  <si>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</si>
  <si>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</si>
  <si>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</si>
  <si>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</si>
  <si>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</si>
  <si>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</si>
  <si>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</si>
  <si>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</si>
  <si>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</si>
  <si>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</si>
  <si>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</si>
  <si>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</si>
  <si>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</si>
  <si>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</si>
  <si>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</si>
  <si>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</si>
  <si>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</si>
  <si>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</si>
  <si>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</si>
  <si>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</si>
  <si>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</si>
  <si>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</si>
  <si>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</si>
  <si>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</si>
  <si>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</si>
  <si>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</si>
  <si>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</si>
  <si>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</si>
  <si>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</si>
  <si>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</si>
  <si>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</si>
  <si>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</si>
  <si>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</si>
  <si>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</si>
  <si>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</si>
  <si>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</si>
  <si>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</si>
  <si>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</si>
  <si>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</si>
  <si>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AH-SP-</t>
  </si>
  <si>
    <t>IN10</t>
  </si>
  <si>
    <t>IN11</t>
  </si>
  <si>
    <t>IN12</t>
  </si>
  <si>
    <t>IN13</t>
  </si>
  <si>
    <t>Eficiencia de Recaudo  Corriente</t>
  </si>
  <si>
    <t>Eficiencia de Recaudo Total</t>
  </si>
  <si>
    <t>Cobertura de medición</t>
  </si>
  <si>
    <t>Calidad del Agua</t>
  </si>
  <si>
    <t>Índice de agua no contabilizada</t>
  </si>
  <si>
    <t>Continuidad del Servicio (Aseo)</t>
  </si>
  <si>
    <t>Disposición en Relleno Sanitario</t>
  </si>
  <si>
    <t>(Valor  Recaudado  Corriente Usuario Final / Valor  Facturado Corriente Usuario Final) x100%</t>
  </si>
  <si>
    <t>Menor al 59%</t>
  </si>
  <si>
    <t>Entre 60% y 79%</t>
  </si>
  <si>
    <t>Entre 80% y 100%</t>
  </si>
  <si>
    <t>Entre 60% y 70%</t>
  </si>
  <si>
    <t>Entre 71% y 100%</t>
  </si>
  <si>
    <t>Días</t>
  </si>
  <si>
    <t>(Cuentas por Cobrar  a particulares y/o oficiales /  Valor Facturado Usuarios particulares y/o oficiales) x 365</t>
  </si>
  <si>
    <t xml:space="preserve">(Inversión realizada / Inversión presupuestada) x 100% </t>
  </si>
  <si>
    <t xml:space="preserve">Medición de acuerdo al IRCA          </t>
  </si>
  <si>
    <t>Mayor al 8%</t>
  </si>
  <si>
    <t>Entre el 5% y el 8%</t>
  </si>
  <si>
    <t>Menor al 5%</t>
  </si>
  <si>
    <t xml:space="preserve">(Volumen  producido - Volumen facturado /   Volumen  producido)   x 100          </t>
  </si>
  <si>
    <t>Mayor al 50%</t>
  </si>
  <si>
    <t>Entre el 30% y el 50%</t>
  </si>
  <si>
    <t>Menor al 30%</t>
  </si>
  <si>
    <t>Menor al 70%</t>
  </si>
  <si>
    <t>Entre 71% y 90%</t>
  </si>
  <si>
    <t>Entre 91% y 100%</t>
  </si>
  <si>
    <t>Mayor a 45 días</t>
  </si>
  <si>
    <t>Entre 31 y 45 días</t>
  </si>
  <si>
    <t>Menor a 31 días</t>
  </si>
  <si>
    <t>Vr. Facturado corriente usuario final</t>
  </si>
  <si>
    <t>Vr. recaudado corriente usuario final</t>
  </si>
  <si>
    <t>Vr. Total Facturado usuario final</t>
  </si>
  <si>
    <t>Vr. Total Recaudado usuario final</t>
  </si>
  <si>
    <t>Cuentas por cobrar a particulares y/o entidades oficiales</t>
  </si>
  <si>
    <t>Inversión Presupuestada</t>
  </si>
  <si>
    <t>No. de suscriptores</t>
  </si>
  <si>
    <t>No. de domicilios</t>
  </si>
  <si>
    <t>Residuos sólidos recolectados</t>
  </si>
  <si>
    <t>Residuos sólidos producidos</t>
  </si>
  <si>
    <t>No. de medidores en servicio</t>
  </si>
  <si>
    <t>Resultados medición metodológia IRCA</t>
  </si>
  <si>
    <t xml:space="preserve">Volumen producido </t>
  </si>
  <si>
    <t>Volumen facturado</t>
  </si>
  <si>
    <t>Residuos sólidos en relleno sanitario</t>
  </si>
  <si>
    <t>(Residuos sólidos en relleno sanitario / Residuos sólidos producidos)     x 100    %</t>
  </si>
  <si>
    <t>Medir la eficiencia en el recaudo corriente de la prestación de los servicios pubicos domiciliarios de Aguas del Huila.</t>
  </si>
  <si>
    <t>Medir la eficiencia en el recaudo total de la prestación de los servicios pubicos domiciliarios de Aguas del Huila.</t>
  </si>
  <si>
    <t>Controlar la cartera existentes de servicios publicos por edades con el fin de evaluar la rotación de la misma.</t>
  </si>
  <si>
    <t>Realizar el seguimiento a la ejecución de la inversión establecida para la vigencia fiscal respectiva.</t>
  </si>
  <si>
    <t xml:space="preserve">Medir el grado de cobertura en   la prestación del servicio de alcantarillado administrado  por Aguas del Huila. </t>
  </si>
  <si>
    <t xml:space="preserve">Medir el grado de cobertura en   la prestación del servicio de acueducto administrado por Aguas del Huila. </t>
  </si>
  <si>
    <t xml:space="preserve">Medir el grado de cobertura en   la prestación del servicio de aseo administrado  por Aguas del Huila. </t>
  </si>
  <si>
    <t>Lograr que Aguas del Huila facture la totalidad del agua producida.</t>
  </si>
  <si>
    <t>Lograr que los suscriptores del servicio de acueducto de Aguas del Huila, tengan su instrumento medición.</t>
  </si>
  <si>
    <t>Prestar el servico de acueducto en forma continua las 24 horas.</t>
  </si>
  <si>
    <t>Recolectar los residuos solidos en los dias y rutas establecidas en el PEGIRS.</t>
  </si>
  <si>
    <t>Disponer la totalidad de los residuos solidos recolectados en el sitio de disposición final.</t>
  </si>
  <si>
    <t>IN14</t>
  </si>
  <si>
    <t>Monitorear la calidad de agua suministrada a los usuarios por parte de Aguas de Huila.</t>
  </si>
  <si>
    <t>PQR en la prestación del servicio.</t>
  </si>
  <si>
    <t>Medir el grado de satisfación de los suscriptores en la prestación del servicio.</t>
  </si>
  <si>
    <t>Entre 0 y 10%</t>
  </si>
  <si>
    <t>Entre 11% y el 20%</t>
  </si>
  <si>
    <t>Mayor al 21%</t>
  </si>
  <si>
    <t>Número de PQR recibidas</t>
  </si>
  <si>
    <t>Número de suscriptores del servicio</t>
  </si>
  <si>
    <t>Horas sin servicio mensual</t>
  </si>
  <si>
    <t>(720 - Horas sin servicio mensuales) / 720) * 100</t>
  </si>
  <si>
    <t>&lt; 5%</t>
  </si>
  <si>
    <t>GESTIÓN DE SERVICIOS PÚBLICOS - COLOMBIA</t>
  </si>
  <si>
    <t>Inversión Acumulada en el periodo</t>
  </si>
  <si>
    <t>Inversión realizada por mes</t>
  </si>
  <si>
    <t>&lt; 15%</t>
  </si>
  <si>
    <t>Cobertura   (Acueducto)</t>
  </si>
  <si>
    <t>Cobertura   (Alcantarillado)</t>
  </si>
  <si>
    <t xml:space="preserve">Cobertura   (Servicio de Aseo) </t>
  </si>
  <si>
    <t>Continuidad del servicio (Acueducto)</t>
  </si>
  <si>
    <t xml:space="preserve">Rotación de Cartera </t>
  </si>
  <si>
    <t>Ejecución de inversiones</t>
  </si>
  <si>
    <t>TABLERO DE INDICADORES BÁSICOS PARA EMPRESAS DE ACUEDUCTO, ALCANTARILLADO Y ASEO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</si>
  <si>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</si>
  <si>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</si>
  <si>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</si>
  <si>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</si>
  <si>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</si>
  <si>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</si>
  <si>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</si>
  <si>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</si>
  <si>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</si>
  <si>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</si>
  <si>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</si>
  <si>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</si>
  <si>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</si>
  <si>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</si>
  <si>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</si>
  <si>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</si>
  <si>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</si>
  <si>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</si>
  <si>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</si>
  <si>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</si>
  <si>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</si>
  <si>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</si>
  <si>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</si>
  <si>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</si>
  <si>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</si>
  <si>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</si>
  <si>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</si>
  <si>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</si>
  <si>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</si>
  <si>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</si>
  <si>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</si>
  <si>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</si>
  <si>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</si>
  <si>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</si>
  <si>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</si>
  <si>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fisicoquiímica</t>
  </si>
  <si>
    <t>Toneladas dispuestas Aseo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</si>
  <si>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</si>
  <si>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</si>
  <si>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</si>
  <si>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</si>
  <si>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</si>
  <si>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</si>
  <si>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</si>
  <si>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</si>
  <si>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</si>
  <si>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</si>
  <si>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</si>
  <si>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</si>
  <si>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</si>
  <si>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</si>
  <si>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</si>
  <si>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</si>
  <si>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</si>
  <si>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</si>
  <si>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</si>
  <si>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</si>
  <si>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</si>
  <si>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</si>
  <si>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</si>
  <si>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 xml:space="preserve">Eficiencia recaudo Total  </t>
  </si>
  <si>
    <t>Eficiencia laboral Acueducto y Alcantarillado</t>
  </si>
  <si>
    <t>($/m3)</t>
  </si>
  <si>
    <t>Utilidad neta</t>
  </si>
  <si>
    <t>INDICADORES DE COBERTURA</t>
  </si>
  <si>
    <t>COBERTURAS DE SERVICIO</t>
  </si>
  <si>
    <t>Vr. Facturado usuarios particulares y/o entidades oficiales - Mes</t>
  </si>
  <si>
    <t>Vr. Facturado usuarios particulares y/o entidades oficiales - Acumulado</t>
  </si>
  <si>
    <t>AGUAS DEL HUILA S.A. E.S.P.</t>
  </si>
  <si>
    <t>EMPRESA:</t>
  </si>
  <si>
    <t>(Valor  Recaudado  Total Usuario Final / Valor  total Facturado usuario Final) x100%</t>
  </si>
  <si>
    <t xml:space="preserve">(Número de Suscriptores servicio acueducto / Número de Domicilios) x 100% </t>
  </si>
  <si>
    <t xml:space="preserve">(Número de Suscriptores servicio alcantarillado / Número de Domicilios) x 100%  </t>
  </si>
  <si>
    <t xml:space="preserve">(Residuos sólidos recolectada / Residuos sólidos producidos) x 100%           </t>
  </si>
  <si>
    <t xml:space="preserve">(Número de Medidores en servicio / Número de Suscriptores) x 100%          </t>
  </si>
  <si>
    <t>Número de dias de recolección de residuos sólidos por semestre / 144</t>
  </si>
  <si>
    <t>Número de PQR recibidas / número de suscriptores del servicio*100</t>
  </si>
  <si>
    <t>No. de suscriptores servicio acueducto</t>
  </si>
  <si>
    <t>No. de suscriptores servicio alcantarillado</t>
  </si>
  <si>
    <t>No de horas sin servicio</t>
  </si>
  <si>
    <t>No. de PQR recibidas</t>
  </si>
  <si>
    <t>RESULTADOS DE LA VIGENCIA</t>
  </si>
  <si>
    <t>Volúmen de vertimiento de alcantarillado facturado</t>
  </si>
  <si>
    <t>GESTIÓN DE SERVICIOS PÚBLICOS - NATAGA</t>
  </si>
  <si>
    <t>GESTIÓN DE SERVICIOS PÚBLICOS - PAICOL</t>
  </si>
  <si>
    <t>GESTIÓN DE SERVICIOS PÚBLICOS - TARQUÍ</t>
  </si>
  <si>
    <t>GESTIÓN DE SERVICIOS PÚBLICOS - SANTA MARÍA</t>
  </si>
  <si>
    <t>MUNICIPIO : NATAGA</t>
  </si>
  <si>
    <t>NIT 800'100.553-2</t>
  </si>
  <si>
    <t>No. de días de recolección de residuos sólidos en el mes</t>
  </si>
  <si>
    <t>Con recursos de las tarifas no se proyectaron inversiones</t>
  </si>
  <si>
    <t>&lt; 1%</t>
  </si>
  <si>
    <t>IPUF (M3/SUSC-MES)</t>
  </si>
  <si>
    <t>Versión 8.0</t>
  </si>
  <si>
    <t>NIT 800.100.553-2</t>
  </si>
  <si>
    <t>RESULTADOS VIGENCIA 2025</t>
  </si>
  <si>
    <t>VIGENCIA 2025</t>
  </si>
  <si>
    <t>META  AÑO 2025</t>
  </si>
  <si>
    <t>META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</si>
</sst>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0.0"/>
    <numFmt numFmtId="166" formatCode="#,##0.0"/>
    <numFmt numFmtId="167" formatCode="_-* #,##0_-;\-* #,##0_-;_-* &quot;-&quot;??_-;_-@_-"/>
    <numFmt numFmtId="168" formatCode="_ * #,##0.00_ ;_ * \-#,##0.00_ ;_ * &quot;-&quot;??_ ;_ @_ "/>
    <numFmt numFmtId="169" formatCode="#,##0.000"/>
    <numFmt numFmtId="170" formatCode="_(* #,##0_);_(* \(#,##0\);_(* &quot;-&quot;??_);_(@_)"/>
    <numFmt numFmtId="171" formatCode="_(* #,##0.00_);_(* \(#,##0.00\);_(* &quot;-&quot;??_);_(@_)"/>
    <numFmt numFmtId="172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9"/>
      <color theme="1"/>
      <name val="Calibri"/>
      <family val="2"/>
      <scheme val="minor"/>
    </font>
    <font>
      <i/>
      <sz val="8"/>
      <name val="Tahoma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71" fontId="23" fillId="0" borderId="0" applyFont="0" applyFill="0" applyBorder="0" applyAlignment="0" applyProtection="0"/>
  </cellStyleXfs>
  <cellXfs count="332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65" fontId="8" fillId="0" borderId="22" xfId="1" applyNumberFormat="1" applyFont="1" applyBorder="1" applyAlignment="1">
      <alignment vertical="center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165" fontId="8" fillId="7" borderId="29" xfId="1" applyNumberFormat="1" applyFont="1" applyFill="1" applyBorder="1" applyAlignment="1">
      <alignment vertical="center"/>
    </xf>
    <xf numFmtId="164" fontId="9" fillId="7" borderId="12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vertical="center"/>
    </xf>
    <xf numFmtId="3" fontId="8" fillId="7" borderId="15" xfId="1" applyNumberFormat="1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14" fillId="7" borderId="30" xfId="1" applyFont="1" applyFill="1" applyBorder="1" applyAlignment="1">
      <alignment horizontal="right" vertical="center"/>
    </xf>
    <xf numFmtId="0" fontId="2" fillId="0" borderId="36" xfId="1" applyFont="1" applyBorder="1" applyAlignment="1">
      <alignment horizontal="center" vertical="center" textRotation="90" wrapText="1"/>
    </xf>
    <xf numFmtId="164" fontId="15" fillId="0" borderId="36" xfId="0" applyNumberFormat="1" applyFont="1" applyBorder="1" applyAlignment="1">
      <alignment horizontal="center" vertical="center" textRotation="90" wrapText="1"/>
    </xf>
    <xf numFmtId="0" fontId="15" fillId="8" borderId="36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166" fontId="9" fillId="7" borderId="12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6" xfId="1" applyFont="1" applyBorder="1" applyAlignment="1">
      <alignment horizontal="justify" vertical="top" wrapText="1"/>
    </xf>
    <xf numFmtId="0" fontId="17" fillId="0" borderId="36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6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vertical="top" wrapText="1"/>
    </xf>
    <xf numFmtId="0" fontId="16" fillId="0" borderId="37" xfId="0" applyFont="1" applyBorder="1" applyAlignment="1">
      <alignment horizontal="left" vertical="top" wrapText="1"/>
    </xf>
    <xf numFmtId="0" fontId="20" fillId="0" borderId="0" xfId="0" applyFont="1"/>
    <xf numFmtId="0" fontId="22" fillId="0" borderId="0" xfId="0" applyFont="1"/>
    <xf numFmtId="0" fontId="2" fillId="0" borderId="36" xfId="0" applyFont="1" applyBorder="1" applyAlignment="1">
      <alignment horizontal="center" vertical="center" textRotation="90" wrapText="1"/>
    </xf>
    <xf numFmtId="9" fontId="3" fillId="0" borderId="36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vertical="center"/>
    </xf>
    <xf numFmtId="166" fontId="15" fillId="0" borderId="36" xfId="0" applyNumberFormat="1" applyFont="1" applyBorder="1" applyAlignment="1">
      <alignment horizontal="center" vertical="center" textRotation="90" wrapText="1"/>
    </xf>
    <xf numFmtId="3" fontId="8" fillId="7" borderId="1" xfId="1" applyNumberFormat="1" applyFont="1" applyFill="1" applyBorder="1" applyAlignment="1">
      <alignment horizontal="right" vertical="center"/>
    </xf>
    <xf numFmtId="3" fontId="8" fillId="7" borderId="15" xfId="1" applyNumberFormat="1" applyFont="1" applyFill="1" applyBorder="1" applyAlignment="1">
      <alignment horizontal="right" vertical="center"/>
    </xf>
    <xf numFmtId="9" fontId="0" fillId="0" borderId="0" xfId="2" applyFont="1"/>
    <xf numFmtId="3" fontId="9" fillId="0" borderId="1" xfId="3" applyNumberFormat="1" applyFont="1" applyBorder="1" applyAlignment="1">
      <alignment vertical="center"/>
    </xf>
    <xf numFmtId="1" fontId="9" fillId="7" borderId="12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Border="1" applyAlignment="1">
      <alignment vertical="center"/>
    </xf>
    <xf numFmtId="10" fontId="8" fillId="0" borderId="1" xfId="1" applyNumberFormat="1" applyFont="1" applyBorder="1" applyAlignment="1">
      <alignment vertical="center"/>
    </xf>
    <xf numFmtId="10" fontId="8" fillId="7" borderId="15" xfId="1" applyNumberFormat="1" applyFont="1" applyFill="1" applyBorder="1" applyAlignment="1">
      <alignment vertical="center"/>
    </xf>
    <xf numFmtId="9" fontId="10" fillId="0" borderId="1" xfId="1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vertical="center"/>
    </xf>
    <xf numFmtId="3" fontId="9" fillId="7" borderId="15" xfId="3" applyNumberFormat="1" applyFont="1" applyFill="1" applyBorder="1" applyAlignment="1">
      <alignment vertical="center"/>
    </xf>
    <xf numFmtId="3" fontId="9" fillId="7" borderId="15" xfId="1" applyNumberFormat="1" applyFont="1" applyFill="1" applyBorder="1" applyAlignment="1">
      <alignment vertical="center"/>
    </xf>
    <xf numFmtId="4" fontId="8" fillId="7" borderId="15" xfId="1" applyNumberFormat="1" applyFont="1" applyFill="1" applyBorder="1" applyAlignment="1">
      <alignment vertical="center"/>
    </xf>
    <xf numFmtId="0" fontId="1" fillId="0" borderId="0" xfId="1"/>
    <xf numFmtId="0" fontId="9" fillId="0" borderId="22" xfId="1" applyFont="1" applyBorder="1" applyAlignment="1">
      <alignment horizontal="justify" vertical="top" wrapText="1"/>
    </xf>
    <xf numFmtId="164" fontId="8" fillId="7" borderId="1" xfId="1" applyNumberFormat="1" applyFont="1" applyFill="1" applyBorder="1" applyAlignment="1">
      <alignment horizontal="center" vertical="center"/>
    </xf>
    <xf numFmtId="164" fontId="8" fillId="7" borderId="15" xfId="1" applyNumberFormat="1" applyFont="1" applyFill="1" applyBorder="1" applyAlignment="1">
      <alignment horizontal="center" vertical="center"/>
    </xf>
    <xf numFmtId="165" fontId="8" fillId="0" borderId="22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vertical="center"/>
    </xf>
    <xf numFmtId="2" fontId="8" fillId="0" borderId="1" xfId="1" applyNumberFormat="1" applyFont="1" applyBorder="1" applyAlignment="1">
      <alignment horizontal="center" vertical="center"/>
    </xf>
    <xf numFmtId="2" fontId="8" fillId="7" borderId="15" xfId="1" applyNumberFormat="1" applyFont="1" applyFill="1" applyBorder="1" applyAlignment="1">
      <alignment vertical="center"/>
    </xf>
    <xf numFmtId="0" fontId="3" fillId="0" borderId="0" xfId="1" applyFont="1" applyProtection="1">
      <protection locked="0"/>
    </xf>
    <xf numFmtId="0" fontId="2" fillId="11" borderId="1" xfId="1" quotePrefix="1" applyFont="1" applyFill="1" applyBorder="1" applyAlignment="1">
      <alignment horizontal="right"/>
    </xf>
    <xf numFmtId="0" fontId="2" fillId="0" borderId="0" xfId="1" quotePrefix="1" applyFont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10" borderId="44" xfId="1" applyFont="1" applyFill="1" applyBorder="1"/>
    <xf numFmtId="0" fontId="2" fillId="0" borderId="1" xfId="1" quotePrefix="1" applyFont="1" applyBorder="1" applyAlignment="1">
      <alignment horizontal="right"/>
    </xf>
    <xf numFmtId="167" fontId="2" fillId="0" borderId="0" xfId="1" applyNumberFormat="1" applyFont="1"/>
    <xf numFmtId="0" fontId="1" fillId="0" borderId="0" xfId="1" applyAlignment="1">
      <alignment horizontal="center"/>
    </xf>
    <xf numFmtId="167" fontId="1" fillId="0" borderId="0" xfId="1" applyNumberFormat="1"/>
    <xf numFmtId="0" fontId="1" fillId="0" borderId="0" xfId="1" applyProtection="1">
      <protection locked="0"/>
    </xf>
    <xf numFmtId="43" fontId="1" fillId="0" borderId="0" xfId="1" applyNumberFormat="1" applyAlignment="1">
      <alignment horizontal="center"/>
    </xf>
    <xf numFmtId="164" fontId="29" fillId="0" borderId="0" xfId="6" applyNumberFormat="1" applyFont="1" applyBorder="1" applyAlignment="1" applyProtection="1">
      <alignment horizontal="center"/>
      <protection locked="0"/>
    </xf>
    <xf numFmtId="167" fontId="1" fillId="0" borderId="0" xfId="1" applyNumberFormat="1" applyAlignment="1" applyProtection="1">
      <alignment horizontal="center"/>
      <protection locked="0"/>
    </xf>
    <xf numFmtId="0" fontId="3" fillId="10" borderId="1" xfId="1" applyFont="1" applyFill="1" applyBorder="1" applyAlignment="1">
      <alignment horizontal="center" vertical="center"/>
    </xf>
    <xf numFmtId="17" fontId="27" fillId="10" borderId="1" xfId="1" applyNumberFormat="1" applyFont="1" applyFill="1" applyBorder="1" applyAlignment="1">
      <alignment horizontal="center" vertical="center"/>
    </xf>
    <xf numFmtId="0" fontId="2" fillId="0" borderId="1" xfId="1" quotePrefix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11" borderId="1" xfId="1" quotePrefix="1" applyFont="1" applyFill="1" applyBorder="1" applyAlignment="1">
      <alignment horizontal="right" vertical="center"/>
    </xf>
    <xf numFmtId="0" fontId="2" fillId="11" borderId="1" xfId="1" applyFont="1" applyFill="1" applyBorder="1" applyAlignment="1">
      <alignment horizontal="center" vertical="center"/>
    </xf>
    <xf numFmtId="167" fontId="1" fillId="11" borderId="1" xfId="4" applyNumberFormat="1" applyFont="1" applyFill="1" applyBorder="1" applyAlignment="1" applyProtection="1">
      <alignment vertical="center"/>
      <protection locked="0"/>
    </xf>
    <xf numFmtId="167" fontId="1" fillId="0" borderId="1" xfId="4" applyNumberFormat="1" applyFont="1" applyFill="1" applyBorder="1" applyAlignment="1" applyProtection="1">
      <alignment vertical="center"/>
      <protection locked="0"/>
    </xf>
    <xf numFmtId="0" fontId="1" fillId="11" borderId="1" xfId="1" applyFill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7" fontId="1" fillId="12" borderId="1" xfId="1" applyNumberFormat="1" applyFill="1" applyBorder="1" applyAlignment="1">
      <alignment horizontal="center" vertical="center"/>
    </xf>
    <xf numFmtId="0" fontId="2" fillId="11" borderId="49" xfId="1" applyFont="1" applyFill="1" applyBorder="1" applyAlignment="1">
      <alignment horizontal="center" vertical="center"/>
    </xf>
    <xf numFmtId="169" fontId="1" fillId="13" borderId="1" xfId="1" applyNumberFormat="1" applyFill="1" applyBorder="1" applyAlignment="1">
      <alignment horizontal="center" vertical="center"/>
    </xf>
    <xf numFmtId="167" fontId="1" fillId="13" borderId="1" xfId="4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justify" vertical="top" wrapText="1"/>
    </xf>
    <xf numFmtId="164" fontId="10" fillId="7" borderId="15" xfId="1" applyNumberFormat="1" applyFont="1" applyFill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3" fontId="8" fillId="0" borderId="12" xfId="1" applyNumberFormat="1" applyFont="1" applyBorder="1" applyAlignment="1">
      <alignment vertical="center"/>
    </xf>
    <xf numFmtId="3" fontId="8" fillId="7" borderId="13" xfId="1" applyNumberFormat="1" applyFont="1" applyFill="1" applyBorder="1" applyAlignment="1">
      <alignment vertical="center"/>
    </xf>
    <xf numFmtId="3" fontId="10" fillId="7" borderId="15" xfId="1" applyNumberFormat="1" applyFont="1" applyFill="1" applyBorder="1" applyAlignment="1">
      <alignment vertical="center"/>
    </xf>
    <xf numFmtId="164" fontId="14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horizontal="center" vertical="center"/>
    </xf>
    <xf numFmtId="0" fontId="2" fillId="0" borderId="1" xfId="1" quotePrefix="1" applyFont="1" applyBorder="1" applyAlignment="1">
      <alignment horizontal="center"/>
    </xf>
    <xf numFmtId="0" fontId="2" fillId="11" borderId="1" xfId="1" quotePrefix="1" applyFont="1" applyFill="1" applyBorder="1" applyAlignment="1">
      <alignment horizontal="center"/>
    </xf>
    <xf numFmtId="10" fontId="1" fillId="11" borderId="1" xfId="1" applyNumberFormat="1" applyFill="1" applyBorder="1" applyAlignment="1">
      <alignment horizontal="center" vertical="center"/>
    </xf>
    <xf numFmtId="167" fontId="1" fillId="0" borderId="1" xfId="1" applyNumberFormat="1" applyBorder="1" applyAlignment="1" applyProtection="1">
      <alignment vertical="center"/>
      <protection locked="0"/>
    </xf>
    <xf numFmtId="167" fontId="2" fillId="0" borderId="1" xfId="1" applyNumberFormat="1" applyFont="1" applyBorder="1" applyAlignment="1">
      <alignment horizontal="center" vertical="center"/>
    </xf>
    <xf numFmtId="167" fontId="2" fillId="11" borderId="1" xfId="1" applyNumberFormat="1" applyFont="1" applyFill="1" applyBorder="1" applyAlignment="1">
      <alignment horizontal="center" vertical="center"/>
    </xf>
    <xf numFmtId="167" fontId="1" fillId="14" borderId="1" xfId="4" applyNumberFormat="1" applyFont="1" applyFill="1" applyBorder="1" applyAlignment="1" applyProtection="1">
      <alignment vertical="center"/>
      <protection locked="0"/>
    </xf>
    <xf numFmtId="167" fontId="1" fillId="14" borderId="49" xfId="1" applyNumberFormat="1" applyFill="1" applyBorder="1" applyAlignment="1">
      <alignment horizontal="center" vertical="center"/>
    </xf>
    <xf numFmtId="167" fontId="1" fillId="14" borderId="1" xfId="1" applyNumberFormat="1" applyFill="1" applyBorder="1" applyAlignment="1" applyProtection="1">
      <alignment horizontal="center" vertical="center"/>
      <protection locked="0"/>
    </xf>
    <xf numFmtId="164" fontId="29" fillId="14" borderId="1" xfId="6" applyNumberFormat="1" applyFont="1" applyFill="1" applyBorder="1" applyAlignment="1" applyProtection="1">
      <alignment horizontal="center" vertical="center"/>
      <protection locked="0"/>
    </xf>
    <xf numFmtId="10" fontId="1" fillId="14" borderId="1" xfId="6" applyNumberFormat="1" applyFont="1" applyFill="1" applyBorder="1" applyAlignment="1">
      <alignment horizontal="center" vertical="center"/>
    </xf>
    <xf numFmtId="0" fontId="34" fillId="0" borderId="0" xfId="1" applyFont="1"/>
    <xf numFmtId="0" fontId="1" fillId="0" borderId="1" xfId="0" applyFont="1" applyBorder="1" applyAlignment="1">
      <alignment vertical="center" wrapText="1"/>
    </xf>
    <xf numFmtId="167" fontId="1" fillId="11" borderId="1" xfId="1" applyNumberFormat="1" applyFill="1" applyBorder="1"/>
    <xf numFmtId="43" fontId="1" fillId="11" borderId="1" xfId="3" applyFont="1" applyFill="1" applyBorder="1"/>
    <xf numFmtId="43" fontId="1" fillId="0" borderId="0" xfId="1" applyNumberFormat="1"/>
    <xf numFmtId="43" fontId="34" fillId="0" borderId="0" xfId="1" applyNumberFormat="1" applyFont="1"/>
    <xf numFmtId="43" fontId="33" fillId="0" borderId="0" xfId="0" applyNumberFormat="1" applyFont="1"/>
    <xf numFmtId="43" fontId="33" fillId="0" borderId="0" xfId="3" applyFont="1" applyFill="1" applyBorder="1"/>
    <xf numFmtId="167" fontId="34" fillId="0" borderId="1" xfId="4" applyNumberFormat="1" applyFont="1" applyFill="1" applyBorder="1" applyAlignment="1" applyProtection="1">
      <alignment vertical="center"/>
      <protection locked="0"/>
    </xf>
    <xf numFmtId="170" fontId="33" fillId="15" borderId="1" xfId="10" applyNumberFormat="1" applyFont="1" applyFill="1" applyBorder="1"/>
    <xf numFmtId="167" fontId="35" fillId="11" borderId="1" xfId="4" applyNumberFormat="1" applyFont="1" applyFill="1" applyBorder="1" applyAlignment="1" applyProtection="1">
      <alignment vertical="center"/>
      <protection locked="0"/>
    </xf>
    <xf numFmtId="167" fontId="35" fillId="0" borderId="1" xfId="4" applyNumberFormat="1" applyFont="1" applyBorder="1" applyAlignment="1" applyProtection="1">
      <alignment vertical="center"/>
      <protection locked="0"/>
    </xf>
    <xf numFmtId="0" fontId="3" fillId="0" borderId="1" xfId="1" quotePrefix="1" applyFont="1" applyBorder="1" applyAlignment="1">
      <alignment horizontal="right" vertical="center"/>
    </xf>
    <xf numFmtId="0" fontId="3" fillId="11" borderId="1" xfId="1" applyFont="1" applyFill="1" applyBorder="1" applyAlignment="1">
      <alignment horizontal="center" vertical="center"/>
    </xf>
    <xf numFmtId="167" fontId="27" fillId="14" borderId="1" xfId="4" applyNumberFormat="1" applyFont="1" applyFill="1" applyBorder="1" applyAlignment="1" applyProtection="1">
      <alignment vertical="center"/>
      <protection locked="0"/>
    </xf>
    <xf numFmtId="0" fontId="27" fillId="0" borderId="0" xfId="1" applyFont="1"/>
    <xf numFmtId="167" fontId="27" fillId="0" borderId="0" xfId="1" applyNumberFormat="1" applyFont="1"/>
    <xf numFmtId="0" fontId="3" fillId="0" borderId="1" xfId="1" applyFont="1" applyBorder="1" applyAlignment="1">
      <alignment horizontal="center" vertical="center"/>
    </xf>
    <xf numFmtId="167" fontId="35" fillId="0" borderId="1" xfId="0" applyNumberFormat="1" applyFont="1" applyBorder="1" applyAlignment="1" applyProtection="1">
      <alignment vertical="center"/>
      <protection locked="0"/>
    </xf>
    <xf numFmtId="167" fontId="35" fillId="0" borderId="1" xfId="4" applyNumberFormat="1" applyFont="1" applyFill="1" applyBorder="1" applyAlignment="1" applyProtection="1">
      <alignment vertical="center"/>
      <protection locked="0"/>
    </xf>
    <xf numFmtId="167" fontId="35" fillId="0" borderId="1" xfId="1" applyNumberFormat="1" applyFont="1" applyBorder="1" applyAlignment="1" applyProtection="1">
      <alignment vertical="center"/>
      <protection locked="0"/>
    </xf>
    <xf numFmtId="167" fontId="35" fillId="11" borderId="1" xfId="0" applyNumberFormat="1" applyFont="1" applyFill="1" applyBorder="1" applyAlignment="1" applyProtection="1">
      <alignment vertical="center"/>
      <protection locked="0"/>
    </xf>
    <xf numFmtId="167" fontId="35" fillId="14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170" fontId="35" fillId="15" borderId="0" xfId="10" applyNumberFormat="1" applyFont="1" applyFill="1" applyBorder="1"/>
    <xf numFmtId="170" fontId="33" fillId="15" borderId="0" xfId="10" applyNumberFormat="1" applyFont="1" applyFill="1" applyBorder="1"/>
    <xf numFmtId="167" fontId="35" fillId="15" borderId="0" xfId="4" applyNumberFormat="1" applyFont="1" applyFill="1" applyBorder="1" applyAlignment="1" applyProtection="1">
      <alignment vertical="center"/>
      <protection locked="0"/>
    </xf>
    <xf numFmtId="167" fontId="1" fillId="15" borderId="0" xfId="4" applyNumberFormat="1" applyFont="1" applyFill="1" applyBorder="1" applyAlignment="1" applyProtection="1">
      <alignment vertical="center"/>
      <protection locked="0"/>
    </xf>
    <xf numFmtId="167" fontId="35" fillId="15" borderId="0" xfId="0" applyNumberFormat="1" applyFont="1" applyFill="1" applyAlignment="1" applyProtection="1">
      <alignment vertical="center"/>
      <protection locked="0"/>
    </xf>
    <xf numFmtId="167" fontId="35" fillId="15" borderId="0" xfId="1" applyNumberFormat="1" applyFont="1" applyFill="1" applyAlignment="1" applyProtection="1">
      <alignment vertical="center"/>
      <protection locked="0"/>
    </xf>
    <xf numFmtId="167" fontId="1" fillId="15" borderId="0" xfId="1" applyNumberFormat="1" applyFill="1" applyAlignment="1" applyProtection="1">
      <alignment vertical="center"/>
      <protection locked="0"/>
    </xf>
    <xf numFmtId="167" fontId="1" fillId="0" borderId="0" xfId="0" applyNumberFormat="1" applyFont="1" applyAlignment="1">
      <alignment vertical="center" wrapText="1"/>
    </xf>
    <xf numFmtId="167" fontId="1" fillId="0" borderId="1" xfId="0" applyNumberFormat="1" applyFont="1" applyBorder="1" applyAlignment="1" applyProtection="1">
      <alignment vertical="center"/>
      <protection locked="0"/>
    </xf>
    <xf numFmtId="0" fontId="2" fillId="15" borderId="1" xfId="1" quotePrefix="1" applyFont="1" applyFill="1" applyBorder="1" applyAlignment="1">
      <alignment horizontal="right" vertical="center"/>
    </xf>
    <xf numFmtId="0" fontId="2" fillId="15" borderId="1" xfId="1" applyFont="1" applyFill="1" applyBorder="1" applyAlignment="1">
      <alignment horizontal="center" vertical="center"/>
    </xf>
    <xf numFmtId="167" fontId="28" fillId="15" borderId="1" xfId="3" applyNumberFormat="1" applyFont="1" applyFill="1" applyBorder="1" applyAlignment="1">
      <alignment vertical="center"/>
    </xf>
    <xf numFmtId="170" fontId="1" fillId="15" borderId="0" xfId="1" applyNumberFormat="1" applyFill="1"/>
    <xf numFmtId="0" fontId="1" fillId="15" borderId="0" xfId="1" applyFill="1"/>
    <xf numFmtId="167" fontId="1" fillId="11" borderId="1" xfId="1" applyNumberFormat="1" applyFill="1" applyBorder="1" applyAlignment="1">
      <alignment horizontal="center" vertical="center"/>
    </xf>
    <xf numFmtId="167" fontId="1" fillId="0" borderId="22" xfId="1" applyNumberFormat="1" applyBorder="1" applyAlignment="1">
      <alignment horizontal="center" vertical="center"/>
    </xf>
    <xf numFmtId="172" fontId="33" fillId="16" borderId="1" xfId="10" applyNumberFormat="1" applyFont="1" applyFill="1" applyBorder="1"/>
    <xf numFmtId="43" fontId="1" fillId="0" borderId="1" xfId="1" applyNumberFormat="1" applyBorder="1" applyAlignment="1">
      <alignment horizontal="center" vertical="center"/>
    </xf>
    <xf numFmtId="170" fontId="33" fillId="16" borderId="1" xfId="10" applyNumberFormat="1" applyFont="1" applyFill="1" applyBorder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vertical="center" wrapText="1"/>
    </xf>
    <xf numFmtId="0" fontId="2" fillId="11" borderId="1" xfId="1" applyFont="1" applyFill="1" applyBorder="1" applyAlignment="1">
      <alignment vertical="center" wrapText="1"/>
    </xf>
    <xf numFmtId="0" fontId="2" fillId="15" borderId="1" xfId="1" applyFont="1" applyFill="1" applyBorder="1" applyAlignment="1">
      <alignment vertical="center" wrapText="1"/>
    </xf>
    <xf numFmtId="0" fontId="3" fillId="11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2" fillId="11" borderId="49" xfId="1" applyFont="1" applyFill="1" applyBorder="1" applyAlignment="1">
      <alignment vertical="center" wrapText="1"/>
    </xf>
    <xf numFmtId="0" fontId="3" fillId="10" borderId="48" xfId="1" applyFont="1" applyFill="1" applyBorder="1" applyAlignment="1">
      <alignment vertical="center" wrapText="1"/>
    </xf>
    <xf numFmtId="10" fontId="1" fillId="0" borderId="0" xfId="1" applyNumberFormat="1"/>
    <xf numFmtId="0" fontId="0" fillId="0" borderId="4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8" borderId="36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textRotation="90" wrapText="1"/>
    </xf>
    <xf numFmtId="0" fontId="6" fillId="8" borderId="36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textRotation="90" wrapText="1"/>
    </xf>
    <xf numFmtId="0" fontId="4" fillId="8" borderId="36" xfId="0" applyFont="1" applyFill="1" applyBorder="1" applyAlignment="1">
      <alignment horizontal="center" vertical="center" textRotation="90" wrapText="1"/>
    </xf>
    <xf numFmtId="0" fontId="18" fillId="8" borderId="33" xfId="0" applyFont="1" applyFill="1" applyBorder="1" applyAlignment="1">
      <alignment horizontal="right" vertical="center" wrapText="1"/>
    </xf>
    <xf numFmtId="0" fontId="18" fillId="8" borderId="34" xfId="0" applyFont="1" applyFill="1" applyBorder="1" applyAlignment="1">
      <alignment horizontal="righ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9" borderId="38" xfId="0" applyFill="1" applyBorder="1" applyAlignment="1">
      <alignment horizont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32" fillId="0" borderId="16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22" xfId="1" applyFont="1" applyFill="1" applyBorder="1" applyAlignment="1">
      <alignment horizontal="left" vertical="center"/>
    </xf>
    <xf numFmtId="0" fontId="10" fillId="7" borderId="29" xfId="1" applyFont="1" applyFill="1" applyBorder="1" applyAlignment="1">
      <alignment horizontal="left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wrapText="1"/>
    </xf>
    <xf numFmtId="0" fontId="8" fillId="7" borderId="44" xfId="1" applyFont="1" applyFill="1" applyBorder="1" applyAlignment="1">
      <alignment horizontal="left" vertical="center"/>
    </xf>
    <xf numFmtId="0" fontId="8" fillId="7" borderId="45" xfId="1" applyFont="1" applyFill="1" applyBorder="1" applyAlignment="1">
      <alignment horizontal="left" vertical="center"/>
    </xf>
    <xf numFmtId="0" fontId="8" fillId="7" borderId="46" xfId="1" applyFont="1" applyFill="1" applyBorder="1" applyAlignment="1">
      <alignment horizontal="left" vertical="center"/>
    </xf>
    <xf numFmtId="0" fontId="9" fillId="7" borderId="11" xfId="1" applyFont="1" applyFill="1" applyBorder="1" applyAlignment="1">
      <alignment horizontal="justify" vertical="top" wrapText="1"/>
    </xf>
    <xf numFmtId="0" fontId="9" fillId="7" borderId="12" xfId="1" applyFont="1" applyFill="1" applyBorder="1" applyAlignment="1">
      <alignment horizontal="justify" vertical="top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5" xfId="1" applyFont="1" applyFill="1" applyBorder="1" applyAlignment="1">
      <alignment horizontal="left" vertical="center"/>
    </xf>
    <xf numFmtId="0" fontId="10" fillId="7" borderId="6" xfId="1" applyFont="1" applyFill="1" applyBorder="1" applyAlignment="1">
      <alignment horizontal="left" vertical="center"/>
    </xf>
    <xf numFmtId="0" fontId="10" fillId="7" borderId="7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27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7" borderId="26" xfId="1" applyFont="1" applyFill="1" applyBorder="1" applyAlignment="1">
      <alignment horizontal="center" vertical="center"/>
    </xf>
    <xf numFmtId="0" fontId="11" fillId="7" borderId="27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4" fillId="7" borderId="18" xfId="1" applyFont="1" applyFill="1" applyBorder="1" applyAlignment="1">
      <alignment horizontal="center" vertical="center" textRotation="90"/>
    </xf>
    <xf numFmtId="0" fontId="14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left" vertical="center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2" fontId="10" fillId="7" borderId="32" xfId="1" applyNumberFormat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0" fontId="10" fillId="7" borderId="27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1" fontId="10" fillId="7" borderId="25" xfId="1" applyNumberFormat="1" applyFont="1" applyFill="1" applyBorder="1" applyAlignment="1">
      <alignment horizontal="center" vertical="center"/>
    </xf>
    <xf numFmtId="1" fontId="10" fillId="7" borderId="26" xfId="1" applyNumberFormat="1" applyFont="1" applyFill="1" applyBorder="1" applyAlignment="1">
      <alignment horizontal="center" vertical="center"/>
    </xf>
    <xf numFmtId="1" fontId="10" fillId="7" borderId="27" xfId="1" applyNumberFormat="1" applyFont="1" applyFill="1" applyBorder="1" applyAlignment="1">
      <alignment horizontal="center" vertical="center"/>
    </xf>
    <xf numFmtId="0" fontId="14" fillId="7" borderId="21" xfId="1" applyFont="1" applyFill="1" applyBorder="1" applyAlignment="1">
      <alignment horizontal="center" vertical="center" textRotation="90"/>
    </xf>
    <xf numFmtId="0" fontId="9" fillId="7" borderId="30" xfId="1" applyFont="1" applyFill="1" applyBorder="1" applyAlignment="1">
      <alignment horizontal="justify" vertical="top" wrapText="1"/>
    </xf>
    <xf numFmtId="0" fontId="9" fillId="7" borderId="43" xfId="1" applyFont="1" applyFill="1" applyBorder="1" applyAlignment="1">
      <alignment horizontal="justify" vertical="top" wrapText="1"/>
    </xf>
    <xf numFmtId="0" fontId="0" fillId="0" borderId="43" xfId="0" applyBorder="1" applyAlignment="1">
      <alignment horizontal="justify" vertical="top"/>
    </xf>
    <xf numFmtId="0" fontId="0" fillId="0" borderId="43" xfId="0" applyBorder="1" applyAlignment="1">
      <alignment horizontal="justify" vertical="top" wrapText="1"/>
    </xf>
    <xf numFmtId="0" fontId="3" fillId="0" borderId="0" xfId="1" applyFont="1" applyAlignment="1">
      <alignment horizontal="center"/>
    </xf>
    <xf numFmtId="0" fontId="27" fillId="0" borderId="0" xfId="1" applyFont="1" applyAlignment="1">
      <alignment horizontal="left"/>
    </xf>
    <xf numFmtId="0" fontId="25" fillId="0" borderId="0" xfId="1" applyFont="1" applyAlignment="1">
      <alignment horizontal="left"/>
    </xf>
    <xf numFmtId="0" fontId="26" fillId="0" borderId="0" xfId="1" applyFont="1"/>
    <xf numFmtId="0" fontId="3" fillId="10" borderId="44" xfId="1" applyFont="1" applyFill="1" applyBorder="1" applyAlignment="1">
      <alignment horizontal="center" vertical="center"/>
    </xf>
    <xf numFmtId="0" fontId="3" fillId="10" borderId="48" xfId="1" applyFont="1" applyFill="1" applyBorder="1" applyAlignment="1">
      <alignment horizontal="center" vertical="center"/>
    </xf>
    <xf numFmtId="0" fontId="27" fillId="0" borderId="0" xfId="1" applyFont="1" applyAlignment="1">
      <alignment horizontal="center"/>
    </xf>
    <xf numFmtId="0" fontId="1" fillId="0" borderId="0" xfId="1"/>
    <xf numFmtId="0" fontId="26" fillId="0" borderId="47" xfId="1" applyFont="1" applyBorder="1" applyAlignment="1" applyProtection="1">
      <alignment horizontal="center"/>
      <protection locked="0"/>
    </xf>
    <xf numFmtId="0" fontId="15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0" xfId="1" applyFont="1" applyBorder="1" applyAlignment="1">
      <alignment horizontal="center" vertical="center"/>
    </xf>
  </cellXfs>
  <cellStyles count="11">
    <cellStyle name="Millares" xfId="3" builtinId="3"/>
    <cellStyle name="Millares 2" xfId="5" xr:uid="{00000000-0005-0000-0000-000001000000}"/>
    <cellStyle name="Millares 3" xfId="10" xr:uid="{00000000-0005-0000-0000-000002000000}"/>
    <cellStyle name="Millares_Tablero de Indicadores" xfId="4" xr:uid="{00000000-0005-0000-0000-000003000000}"/>
    <cellStyle name="Normal" xfId="0" builtinId="0"/>
    <cellStyle name="Normal 2" xfId="1" xr:uid="{00000000-0005-0000-0000-000005000000}"/>
    <cellStyle name="Normal 7" xfId="7" xr:uid="{00000000-0005-0000-0000-000006000000}"/>
    <cellStyle name="Normal 8" xfId="9" xr:uid="{00000000-0005-0000-0000-000007000000}"/>
    <cellStyle name="Normal 9" xfId="8" xr:uid="{00000000-0005-0000-0000-000008000000}"/>
    <cellStyle name="Porcentaje" xfId="2" builtinId="5"/>
    <cellStyle name="Porcentaje 2" xfId="6" xr:uid="{00000000-0005-0000-0000-00000A000000}"/>
  </cellStyles>
  <dxfs count="30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'01'!$C$18:$N$18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7-4F9A-9060-38FF7AC8B15A}"/>
            </c:ext>
          </c:extLst>
        </c:ser>
        <c:ser>
          <c:idx val="1"/>
          <c:order val="1"/>
          <c:tx>
            <c:strRef>
              <c:f>'01'!$A$19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'01'!$C$19:$N$19</c:f>
              <c:numCache>
                <c:formatCode>0.0%</c:formatCode>
                <c:ptCount val="12"/>
                <c:pt idx="0">
                  <c:v>0.82825448943155899</c:v>
                </c:pt>
                <c:pt idx="1">
                  <c:v>0.88498880027565574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0.82250755036544676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7-4F9A-9060-38FF7AC8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430464"/>
        <c:axId val="280432000"/>
      </c:lineChart>
      <c:catAx>
        <c:axId val="28043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0432000"/>
        <c:crosses val="autoZero"/>
        <c:auto val="1"/>
        <c:lblAlgn val="ctr"/>
        <c:lblOffset val="100"/>
        <c:noMultiLvlLbl val="0"/>
      </c:catAx>
      <c:valAx>
        <c:axId val="2804320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04304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44" l="0.70000000000000062" r="0.70000000000000062" t="0.75000000000000944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'10'!$C$18:$N$18</c:f>
              <c:numCache>
                <c:formatCode>0.0%</c:formatCode>
                <c:ptCount val="12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  <c:pt idx="7">
                  <c:v>0.45</c:v>
                </c:pt>
                <c:pt idx="8">
                  <c:v>0.45</c:v>
                </c:pt>
                <c:pt idx="9">
                  <c:v>0.45</c:v>
                </c:pt>
                <c:pt idx="10">
                  <c:v>0.45</c:v>
                </c:pt>
                <c:pt idx="11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6-4832-AD60-A21C60BD70EB}"/>
            </c:ext>
          </c:extLst>
        </c:ser>
        <c:ser>
          <c:idx val="1"/>
          <c:order val="1"/>
          <c:tx>
            <c:strRef>
              <c:f>'10'!$A$19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'10'!$C$19:$N$19</c:f>
              <c:numCache>
                <c:formatCode>0.0%</c:formatCode>
                <c:ptCount val="12"/>
                <c:pt idx="0">
                  <c:v>0.49282639885222379</c:v>
                </c:pt>
                <c:pt idx="1">
                  <c:v>0.11398662401861007</c:v>
                </c:pt>
                <c:pt idx="2">
                  <c:v>0.49991733259851201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0.42745309758401945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76-4832-AD60-A21C60BD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808320"/>
        <c:axId val="286810112"/>
      </c:lineChart>
      <c:catAx>
        <c:axId val="28680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6810112"/>
        <c:crosses val="autoZero"/>
        <c:auto val="1"/>
        <c:lblAlgn val="ctr"/>
        <c:lblOffset val="100"/>
        <c:noMultiLvlLbl val="0"/>
      </c:catAx>
      <c:valAx>
        <c:axId val="28681011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68083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66" l="0.70000000000000062" r="0.70000000000000062" t="0.75000000000000966" header="0.30000000000000032" footer="0.30000000000000032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'11'!$C$18:$N$18</c:f>
              <c:numCache>
                <c:formatCode>0%</c:formatCode>
                <c:ptCount val="12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1-41A4-82C4-91A1229CAD93}"/>
            </c:ext>
          </c:extLst>
        </c:ser>
        <c:ser>
          <c:idx val="1"/>
          <c:order val="1"/>
          <c:tx>
            <c:strRef>
              <c:f>'11'!$A$19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'11'!$C$19:$N$19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1-41A4-82C4-91A1229C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421952"/>
        <c:axId val="287423488"/>
      </c:lineChart>
      <c:catAx>
        <c:axId val="287421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7423488"/>
        <c:crosses val="autoZero"/>
        <c:auto val="1"/>
        <c:lblAlgn val="ctr"/>
        <c:lblOffset val="100"/>
        <c:noMultiLvlLbl val="0"/>
      </c:catAx>
      <c:valAx>
        <c:axId val="2874234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74219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88" l="0.70000000000000062" r="0.70000000000000062" t="0.75000000000000988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4-45FC-99BB-7D5121C976D8}"/>
            </c:ext>
          </c:extLst>
        </c:ser>
        <c:ser>
          <c:idx val="1"/>
          <c:order val="1"/>
          <c:tx>
            <c:strRef>
              <c:f>'12'!$A$19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'12'!$C$19:$N$19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D4-45FC-99BB-7D5121C97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556736"/>
        <c:axId val="287558272"/>
      </c:lineChart>
      <c:catAx>
        <c:axId val="28755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7558272"/>
        <c:crosses val="autoZero"/>
        <c:auto val="1"/>
        <c:lblAlgn val="ctr"/>
        <c:lblOffset val="100"/>
        <c:noMultiLvlLbl val="0"/>
      </c:catAx>
      <c:valAx>
        <c:axId val="28755827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75567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101" l="0.70000000000000062" r="0.70000000000000062" t="0.7500000000000101" header="0.30000000000000032" footer="0.30000000000000032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'13'!$A$18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'13'!$C$18:$N$18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C-4CD4-AEC8-756507B63F10}"/>
            </c:ext>
          </c:extLst>
        </c:ser>
        <c:ser>
          <c:idx val="1"/>
          <c:order val="1"/>
          <c:tx>
            <c:strRef>
              <c:f>'13'!$A$19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'13'!$C$19:$N$19</c:f>
              <c:numCache>
                <c:formatCode>0.0%</c:formatCode>
                <c:ptCount val="12"/>
                <c:pt idx="0">
                  <c:v>0</c:v>
                </c:pt>
                <c:pt idx="1">
                  <c:v>3.1185031185031187E-3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C-4CD4-AEC8-756507B63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444992"/>
        <c:axId val="287446528"/>
      </c:lineChart>
      <c:catAx>
        <c:axId val="28744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7446528"/>
        <c:crosses val="autoZero"/>
        <c:auto val="1"/>
        <c:lblAlgn val="ctr"/>
        <c:lblOffset val="100"/>
        <c:noMultiLvlLbl val="0"/>
      </c:catAx>
      <c:valAx>
        <c:axId val="2874465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74449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1055" l="0.70000000000000062" r="0.70000000000000062" t="0.75000000000001055" header="0.30000000000000032" footer="0.30000000000000032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'14'!$A$18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B-48E5-B770-13C2F6EE1B7A}"/>
            </c:ext>
          </c:extLst>
        </c:ser>
        <c:ser>
          <c:idx val="1"/>
          <c:order val="1"/>
          <c:tx>
            <c:strRef>
              <c:f>'14'!$A$19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0.93127490039840632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B-48E5-B770-13C2F6EE1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193536"/>
        <c:axId val="288199424"/>
      </c:lineChart>
      <c:catAx>
        <c:axId val="28819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8199424"/>
        <c:crosses val="autoZero"/>
        <c:auto val="1"/>
        <c:lblAlgn val="ctr"/>
        <c:lblOffset val="100"/>
        <c:noMultiLvlLbl val="0"/>
      </c:catAx>
      <c:valAx>
        <c:axId val="2881994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81935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1033" l="0.70000000000000062" r="0.70000000000000062" t="0.75000000000001033" header="0.30000000000000032" footer="0.30000000000000032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66"/>
      <c:hPercent val="57"/>
      <c:rotY val="39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56255841259646E-2"/>
          <c:y val="1.049871457388701E-2"/>
          <c:w val="0.91718819975904531"/>
          <c:h val="0.85826991641526362"/>
        </c:manualLayout>
      </c:layout>
      <c:bar3DChart>
        <c:barDir val="col"/>
        <c:grouping val="standard"/>
        <c:varyColors val="0"/>
        <c:ser>
          <c:idx val="0"/>
          <c:order val="0"/>
          <c:tx>
            <c:v>Acueducto</c:v>
          </c:tx>
          <c:invertIfNegative val="0"/>
          <c:dLbls>
            <c:dLbl>
              <c:idx val="0"/>
              <c:layout>
                <c:manualLayout>
                  <c:x val="3.1626562159270811E-3"/>
                  <c:y val="-0.10362318148700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E-47AA-A61D-32FC728E2A89}"/>
                </c:ext>
              </c:extLst>
            </c:dLbl>
            <c:dLbl>
              <c:idx val="1"/>
              <c:layout>
                <c:manualLayout>
                  <c:x val="7.7893490880024145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E-47AA-A61D-32FC728E2A89}"/>
                </c:ext>
              </c:extLst>
            </c:dLbl>
            <c:dLbl>
              <c:idx val="2"/>
              <c:layout>
                <c:manualLayout>
                  <c:x val="9.2910395758895748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E-47AA-A61D-32FC728E2A89}"/>
                </c:ext>
              </c:extLst>
            </c:dLbl>
            <c:dLbl>
              <c:idx val="3"/>
              <c:layout>
                <c:manualLayout>
                  <c:x val="7.6677276795890596E-3"/>
                  <c:y val="-0.10362318148700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E-47AA-A61D-32FC728E2A89}"/>
                </c:ext>
              </c:extLst>
            </c:dLbl>
            <c:dLbl>
              <c:idx val="4"/>
              <c:layout>
                <c:manualLayout>
                  <c:x val="9.1694181674763526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E-47AA-A61D-32FC728E2A89}"/>
                </c:ext>
              </c:extLst>
            </c:dLbl>
            <c:dLbl>
              <c:idx val="5"/>
              <c:layout>
                <c:manualLayout>
                  <c:x val="1.3796111039551327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E-47AA-A61D-32FC728E2A89}"/>
                </c:ext>
              </c:extLst>
            </c:dLbl>
            <c:dLbl>
              <c:idx val="6"/>
              <c:layout>
                <c:manualLayout>
                  <c:x val="1.5297965569433402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E-47AA-A61D-32FC728E2A89}"/>
                </c:ext>
              </c:extLst>
            </c:dLbl>
            <c:dLbl>
              <c:idx val="7"/>
              <c:layout>
                <c:manualLayout>
                  <c:x val="1.6799656057320637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7E-47AA-A61D-32FC728E2A89}"/>
                </c:ext>
              </c:extLst>
            </c:dLbl>
            <c:dLbl>
              <c:idx val="8"/>
              <c:layout>
                <c:manualLayout>
                  <c:x val="1.8301346545207983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E-47AA-A61D-32FC728E2A89}"/>
                </c:ext>
              </c:extLst>
            </c:dLbl>
            <c:dLbl>
              <c:idx val="9"/>
              <c:layout>
                <c:manualLayout>
                  <c:x val="1.9802872991101162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E-47AA-A61D-32FC728E2A89}"/>
                </c:ext>
              </c:extLst>
            </c:dLbl>
            <c:dLbl>
              <c:idx val="10"/>
              <c:layout>
                <c:manualLayout>
                  <c:x val="2.1304727520982676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7E-47AA-A61D-32FC728E2A89}"/>
                </c:ext>
              </c:extLst>
            </c:dLbl>
            <c:dLbl>
              <c:idx val="11"/>
              <c:layout>
                <c:manualLayout>
                  <c:x val="2.2806418008870941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E-47AA-A61D-32FC728E2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NATAGA2020!$D$52:$G$52</c:f>
              <c:numCache>
                <c:formatCode>mmm\-yy</c:formatCode>
                <c:ptCount val="4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</c:numCache>
            </c:numRef>
          </c:cat>
          <c:val>
            <c:numRef>
              <c:f>NATAGA2020!$D$53:$G$53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F7E-47AA-A61D-32FC728E2A89}"/>
            </c:ext>
          </c:extLst>
        </c:ser>
        <c:ser>
          <c:idx val="1"/>
          <c:order val="1"/>
          <c:tx>
            <c:v>Alcanatrillado</c:v>
          </c:tx>
          <c:invertIfNegative val="0"/>
          <c:dLbls>
            <c:dLbl>
              <c:idx val="0"/>
              <c:layout>
                <c:manualLayout>
                  <c:x val="6.5585229278869485E-3"/>
                  <c:y val="-0.13645575241341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7E-47AA-A61D-32FC728E2A89}"/>
                </c:ext>
              </c:extLst>
            </c:dLbl>
            <c:dLbl>
              <c:idx val="1"/>
              <c:layout>
                <c:manualLayout>
                  <c:x val="8.0602134157742467E-3"/>
                  <c:y val="-0.13908043105689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E-47AA-A61D-32FC728E2A89}"/>
                </c:ext>
              </c:extLst>
            </c:dLbl>
            <c:dLbl>
              <c:idx val="2"/>
              <c:layout>
                <c:manualLayout>
                  <c:x val="3.3120631772811113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7E-47AA-A61D-32FC728E2A89}"/>
                </c:ext>
              </c:extLst>
            </c:dLbl>
            <c:dLbl>
              <c:idx val="3"/>
              <c:layout>
                <c:manualLayout>
                  <c:x val="1.1063758433543685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E-47AA-A61D-32FC728E2A89}"/>
                </c:ext>
              </c:extLst>
            </c:dLbl>
            <c:dLbl>
              <c:idx val="4"/>
              <c:layout>
                <c:manualLayout>
                  <c:x val="9.4404465372440408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E-47AA-A61D-32FC728E2A89}"/>
                </c:ext>
              </c:extLst>
            </c:dLbl>
            <c:dLbl>
              <c:idx val="5"/>
              <c:layout>
                <c:manualLayout>
                  <c:x val="1.0942137025130683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E-47AA-A61D-32FC728E2A89}"/>
                </c:ext>
              </c:extLst>
            </c:dLbl>
            <c:dLbl>
              <c:idx val="6"/>
              <c:layout>
                <c:manualLayout>
                  <c:x val="1.24438275130185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7E-47AA-A61D-32FC728E2A89}"/>
                </c:ext>
              </c:extLst>
            </c:dLbl>
            <c:dLbl>
              <c:idx val="7"/>
              <c:layout>
                <c:manualLayout>
                  <c:x val="1.3945518000905783E-2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E-47AA-A61D-32FC728E2A89}"/>
                </c:ext>
              </c:extLst>
            </c:dLbl>
            <c:dLbl>
              <c:idx val="8"/>
              <c:layout>
                <c:manualLayout>
                  <c:x val="1.2322206104605014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7E-47AA-A61D-32FC728E2A89}"/>
                </c:ext>
              </c:extLst>
            </c:dLbl>
            <c:dLbl>
              <c:idx val="9"/>
              <c:layout>
                <c:manualLayout>
                  <c:x val="2.0073901360867612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7E-47AA-A61D-32FC728E2A89}"/>
                </c:ext>
              </c:extLst>
            </c:dLbl>
            <c:dLbl>
              <c:idx val="10"/>
              <c:layout>
                <c:manualLayout>
                  <c:x val="2.1575591848754946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7E-47AA-A61D-32FC728E2A89}"/>
                </c:ext>
              </c:extLst>
            </c:dLbl>
            <c:dLbl>
              <c:idx val="11"/>
              <c:layout>
                <c:manualLayout>
                  <c:x val="1.6827277568267587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7E-47AA-A61D-32FC728E2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NATAGA2020!$D$52:$G$52</c:f>
              <c:numCache>
                <c:formatCode>mmm\-yy</c:formatCode>
                <c:ptCount val="4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</c:numCache>
            </c:numRef>
          </c:cat>
          <c:val>
            <c:numRef>
              <c:f>NATAGA2020!$D$54:$G$54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F7E-47AA-A61D-32FC728E2A89}"/>
            </c:ext>
          </c:extLst>
        </c:ser>
        <c:ser>
          <c:idx val="2"/>
          <c:order val="2"/>
          <c:tx>
            <c:v>Aseo</c:v>
          </c:tx>
          <c:invertIfNegative val="0"/>
          <c:dLbls>
            <c:dLbl>
              <c:idx val="0"/>
              <c:layout>
                <c:manualLayout>
                  <c:x val="8.3295512976541228E-3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7E-47AA-A61D-32FC728E2A89}"/>
                </c:ext>
              </c:extLst>
            </c:dLbl>
            <c:dLbl>
              <c:idx val="1"/>
              <c:layout>
                <c:manualLayout>
                  <c:x val="8.2687405934475048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7E-47AA-A61D-32FC728E2A89}"/>
                </c:ext>
              </c:extLst>
            </c:dLbl>
            <c:dLbl>
              <c:idx val="2"/>
              <c:layout>
                <c:manualLayout>
                  <c:x val="1.13329322734286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7E-47AA-A61D-32FC728E2A89}"/>
                </c:ext>
              </c:extLst>
            </c:dLbl>
            <c:dLbl>
              <c:idx val="3"/>
              <c:layout>
                <c:manualLayout>
                  <c:x val="8.1471191850344959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7E-47AA-A61D-32FC728E2A89}"/>
                </c:ext>
              </c:extLst>
            </c:dLbl>
            <c:dLbl>
              <c:idx val="4"/>
              <c:layout>
                <c:manualLayout>
                  <c:x val="1.7461315633390855E-2"/>
                  <c:y val="-0.13376768268030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7E-47AA-A61D-32FC728E2A89}"/>
                </c:ext>
              </c:extLst>
            </c:dLbl>
            <c:dLbl>
              <c:idx val="5"/>
              <c:layout>
                <c:manualLayout>
                  <c:x val="1.2713001352902861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7E-47AA-A61D-32FC728E2A89}"/>
                </c:ext>
              </c:extLst>
            </c:dLbl>
            <c:dLbl>
              <c:idx val="6"/>
              <c:layout>
                <c:manualLayout>
                  <c:x val="1.4214691840790198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7E-47AA-A61D-32FC728E2A89}"/>
                </c:ext>
              </c:extLst>
            </c:dLbl>
            <c:dLbl>
              <c:idx val="7"/>
              <c:layout>
                <c:manualLayout>
                  <c:x val="1.5716382328677544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7E-47AA-A61D-32FC728E2A89}"/>
                </c:ext>
              </c:extLst>
            </c:dLbl>
            <c:dLbl>
              <c:idx val="8"/>
              <c:layout>
                <c:manualLayout>
                  <c:x val="1.721807281656489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7E-47AA-A61D-32FC728E2A89}"/>
                </c:ext>
              </c:extLst>
            </c:dLbl>
            <c:dLbl>
              <c:idx val="9"/>
              <c:layout>
                <c:manualLayout>
                  <c:x val="1.8719763304452127E-2"/>
                  <c:y val="-0.11539493217599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7E-47AA-A61D-32FC728E2A89}"/>
                </c:ext>
              </c:extLst>
            </c:dLbl>
            <c:dLbl>
              <c:idx val="10"/>
              <c:layout>
                <c:manualLayout>
                  <c:x val="2.3346456176527138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7E-47AA-A61D-32FC728E2A89}"/>
                </c:ext>
              </c:extLst>
            </c:dLbl>
            <c:dLbl>
              <c:idx val="11"/>
              <c:layout>
                <c:manualLayout>
                  <c:x val="2.4848146664415309E-2"/>
                  <c:y val="-0.120644289462941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7E-47AA-A61D-32FC728E2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NATAGA2020!$D$52:$G$52</c:f>
              <c:numCache>
                <c:formatCode>mmm\-yy</c:formatCode>
                <c:ptCount val="4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</c:numCache>
            </c:numRef>
          </c:cat>
          <c:val>
            <c:numRef>
              <c:f>NATAGA2020!$D$55:$G$55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AF7E-47AA-A61D-32FC728E2A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82972160"/>
        <c:axId val="282973696"/>
        <c:axId val="288203200"/>
      </c:bar3DChart>
      <c:dateAx>
        <c:axId val="282972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973696"/>
        <c:crosses val="autoZero"/>
        <c:auto val="1"/>
        <c:lblOffset val="100"/>
        <c:baseTimeUnit val="months"/>
        <c:majorUnit val="1"/>
        <c:minorUnit val="1"/>
      </c:dateAx>
      <c:valAx>
        <c:axId val="2829736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972160"/>
        <c:crosses val="autoZero"/>
        <c:crossBetween val="between"/>
      </c:valAx>
      <c:serAx>
        <c:axId val="288203200"/>
        <c:scaling>
          <c:orientation val="minMax"/>
        </c:scaling>
        <c:delete val="1"/>
        <c:axPos val="b"/>
        <c:majorTickMark val="out"/>
        <c:minorTickMark val="none"/>
        <c:tickLblPos val="none"/>
        <c:crossAx val="28297369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3437598296283713E-2"/>
          <c:y val="0.90861618798955557"/>
          <c:w val="0.45625027716329181"/>
          <c:h val="7.3107049608355096E-2"/>
        </c:manualLayout>
      </c:layout>
      <c:overlay val="0"/>
      <c:txPr>
        <a:bodyPr/>
        <a:lstStyle/>
        <a:p>
          <a:pPr>
            <a:defRPr lang="es-ES"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INDICADORES </a:t>
            </a:r>
            <a:r>
              <a:rPr lang="es-CO" sz="1200" u="sng" baseline="0"/>
              <a:t> </a:t>
            </a:r>
            <a:r>
              <a:rPr lang="es-CO" sz="1200" u="sng"/>
              <a:t>FACTURACION Y RECAUDO </a:t>
            </a:r>
            <a:r>
              <a:rPr lang="es-CO" sz="1200" u="sng" baseline="0"/>
              <a:t> DEL CORRIENTE</a:t>
            </a:r>
          </a:p>
          <a:p>
            <a:pPr>
              <a:defRPr lang="es-ES" u="sng"/>
            </a:pPr>
            <a:r>
              <a:rPr lang="es-CO" sz="1200" u="sng" baseline="0"/>
              <a:t>NATAGA</a:t>
            </a:r>
          </a:p>
        </c:rich>
      </c:tx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330284333408372"/>
          <c:y val="0.19780296550243553"/>
          <c:w val="0.45372656397157257"/>
          <c:h val="0.625359344565249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NATAGA2020!$B$43</c:f>
              <c:strCache>
                <c:ptCount val="1"/>
                <c:pt idx="0">
                  <c:v>Total Facturado Corriente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NATAGA2020!$D$42:$K$42</c:f>
              <c:numCache>
                <c:formatCode>mmm\-yy</c:formatCode>
                <c:ptCount val="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</c:numCache>
            </c:numRef>
          </c:cat>
          <c:val>
            <c:numRef>
              <c:f>NATAGA2020!$D$43:$K$43</c:f>
              <c:numCache>
                <c:formatCode>_-* #,##0_-;\-* #,##0_-;_-* "-"??_-;_-@_-</c:formatCode>
                <c:ptCount val="8"/>
                <c:pt idx="0">
                  <c:v>27622428</c:v>
                </c:pt>
                <c:pt idx="1">
                  <c:v>33061528</c:v>
                </c:pt>
                <c:pt idx="2">
                  <c:v>31387755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8-4224-A23A-185B95992D72}"/>
            </c:ext>
          </c:extLst>
        </c:ser>
        <c:ser>
          <c:idx val="1"/>
          <c:order val="1"/>
          <c:tx>
            <c:strRef>
              <c:f>NATAGA2020!$B$44</c:f>
              <c:strCache>
                <c:ptCount val="1"/>
                <c:pt idx="0">
                  <c:v>Total Recaudado Corriente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NATAGA2020!$D$42:$K$42</c:f>
              <c:numCache>
                <c:formatCode>mmm\-yy</c:formatCode>
                <c:ptCount val="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</c:numCache>
            </c:numRef>
          </c:cat>
          <c:val>
            <c:numRef>
              <c:f>NATAGA2020!$D$44:$K$44</c:f>
              <c:numCache>
                <c:formatCode>_-* #,##0_-;\-* #,##0_-;_-* "-"??_-;_-@_-</c:formatCode>
                <c:ptCount val="8"/>
                <c:pt idx="0">
                  <c:v>22878400</c:v>
                </c:pt>
                <c:pt idx="1">
                  <c:v>29259082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18-4224-A23A-185B95992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87315072"/>
        <c:axId val="287316608"/>
        <c:axId val="0"/>
      </c:bar3DChart>
      <c:dateAx>
        <c:axId val="2873150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287316608"/>
        <c:crosses val="autoZero"/>
        <c:auto val="1"/>
        <c:lblOffset val="100"/>
        <c:baseTimeUnit val="months"/>
      </c:dateAx>
      <c:valAx>
        <c:axId val="287316608"/>
        <c:scaling>
          <c:orientation val="minMax"/>
        </c:scaling>
        <c:delete val="0"/>
        <c:axPos val="l"/>
        <c:majorGridlines>
          <c:spPr>
            <a:ln>
              <a:solidFill>
                <a:srgbClr val="8064A2">
                  <a:lumMod val="75000"/>
                </a:srgb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287315072"/>
        <c:crosses val="autoZero"/>
        <c:crossBetween val="between"/>
      </c:valAx>
    </c:plotArea>
    <c:legend>
      <c:legendPos val="r"/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INDICADORES FACTURACION Y RECAUDO DE LA DEUDA</a:t>
            </a:r>
          </a:p>
          <a:p>
            <a:pPr>
              <a:defRPr lang="es-ES" u="sng"/>
            </a:pPr>
            <a:r>
              <a:rPr lang="es-CO" sz="1200" u="sng"/>
              <a:t>NATAGA</a:t>
            </a:r>
          </a:p>
        </c:rich>
      </c:tx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NATAGA2020!$B$46</c:f>
              <c:strCache>
                <c:ptCount val="1"/>
                <c:pt idx="0">
                  <c:v>Total Facturado deuda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NATAGA2020!$D$45:$K$45</c:f>
              <c:numCache>
                <c:formatCode>mmm\-yy</c:formatCode>
                <c:ptCount val="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</c:numCache>
            </c:numRef>
          </c:cat>
          <c:val>
            <c:numRef>
              <c:f>NATAGA2020!$D$46:$K$46</c:f>
              <c:numCache>
                <c:formatCode>_-* #,##0_-;\-* #,##0_-;_-* "-"??_-;_-@_-</c:formatCode>
                <c:ptCount val="8"/>
                <c:pt idx="0">
                  <c:v>5015998</c:v>
                </c:pt>
                <c:pt idx="1">
                  <c:v>5351626</c:v>
                </c:pt>
                <c:pt idx="2">
                  <c:v>2441429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2-4DA6-BF57-78456156EC89}"/>
            </c:ext>
          </c:extLst>
        </c:ser>
        <c:ser>
          <c:idx val="1"/>
          <c:order val="1"/>
          <c:tx>
            <c:strRef>
              <c:f>NATAGA2020!$B$47</c:f>
              <c:strCache>
                <c:ptCount val="1"/>
                <c:pt idx="0">
                  <c:v>Total Recaudado deuda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NATAGA2020!$D$45:$K$45</c:f>
              <c:numCache>
                <c:formatCode>mmm\-yy</c:formatCode>
                <c:ptCount val="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</c:numCache>
            </c:numRef>
          </c:cat>
          <c:val>
            <c:numRef>
              <c:f>NATAGA2020!$D$47:$K$47</c:f>
              <c:numCache>
                <c:formatCode>_-* #,##0_-;\-* #,##0_-;_-* "-"??_-;_-@_-</c:formatCode>
                <c:ptCount val="8"/>
                <c:pt idx="0">
                  <c:v>4354900</c:v>
                </c:pt>
                <c:pt idx="1">
                  <c:v>5187868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A2-4DA6-BF57-78456156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87352320"/>
        <c:axId val="287353856"/>
        <c:axId val="0"/>
      </c:bar3DChart>
      <c:dateAx>
        <c:axId val="28735232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287353856"/>
        <c:crosses val="autoZero"/>
        <c:auto val="1"/>
        <c:lblOffset val="100"/>
        <c:baseTimeUnit val="months"/>
      </c:dateAx>
      <c:valAx>
        <c:axId val="287353856"/>
        <c:scaling>
          <c:orientation val="minMax"/>
        </c:scaling>
        <c:delete val="0"/>
        <c:axPos val="l"/>
        <c:majorGridlines>
          <c:spPr>
            <a:ln>
              <a:solidFill>
                <a:srgbClr val="8064A2">
                  <a:lumMod val="75000"/>
                </a:srgb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287352320"/>
        <c:crosses val="autoZero"/>
        <c:crossBetween val="between"/>
      </c:valAx>
    </c:plotArea>
    <c:legend>
      <c:legendPos val="r"/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lang="es-ES"/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NATAGA2020!$B$57</c:f>
              <c:strCache>
                <c:ptCount val="1"/>
                <c:pt idx="0">
                  <c:v>Índice de Agua No Contabilizada</c:v>
                </c:pt>
              </c:strCache>
            </c:strRef>
          </c:tx>
          <c:invertIfNegative val="0"/>
          <c:cat>
            <c:strRef>
              <c:f>NATAGA2020!$C$52:$K$52</c:f>
              <c:strCache>
                <c:ptCount val="9"/>
                <c:pt idx="0">
                  <c:v>Unidad</c:v>
                </c:pt>
                <c:pt idx="1">
                  <c:v>ene-26</c:v>
                </c:pt>
                <c:pt idx="2">
                  <c:v>feb-26</c:v>
                </c:pt>
                <c:pt idx="3">
                  <c:v>mar-26</c:v>
                </c:pt>
                <c:pt idx="4">
                  <c:v>abr-26</c:v>
                </c:pt>
                <c:pt idx="5">
                  <c:v>may-26</c:v>
                </c:pt>
                <c:pt idx="6">
                  <c:v>jun-26</c:v>
                </c:pt>
                <c:pt idx="7">
                  <c:v>jul-26</c:v>
                </c:pt>
                <c:pt idx="8">
                  <c:v>ago-26</c:v>
                </c:pt>
              </c:strCache>
            </c:strRef>
          </c:cat>
          <c:val>
            <c:numRef>
              <c:f>NATAGA2020!$C$57:$K$57</c:f>
              <c:numCache>
                <c:formatCode>0.00%</c:formatCode>
                <c:ptCount val="9"/>
                <c:pt idx="0" formatCode="General">
                  <c:v>0</c:v>
                </c:pt>
                <c:pt idx="1">
                  <c:v>0.49280000000000002</c:v>
                </c:pt>
                <c:pt idx="2">
                  <c:v>0.114</c:v>
                </c:pt>
                <c:pt idx="3">
                  <c:v>0.49990000000000001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85F-8598-E77E4B6BB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88219136"/>
        <c:axId val="288220672"/>
        <c:axId val="0"/>
      </c:bar3DChart>
      <c:catAx>
        <c:axId val="28821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8220672"/>
        <c:crosses val="autoZero"/>
        <c:auto val="1"/>
        <c:lblAlgn val="ctr"/>
        <c:lblOffset val="100"/>
        <c:noMultiLvlLbl val="1"/>
      </c:catAx>
      <c:valAx>
        <c:axId val="288220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82191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'02'!$C$18:$N$18</c:f>
              <c:numCache>
                <c:formatCode>0.0%</c:formatCode>
                <c:ptCount val="12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0.75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8-408E-B34E-D07EAE578808}"/>
            </c:ext>
          </c:extLst>
        </c:ser>
        <c:ser>
          <c:idx val="1"/>
          <c:order val="1"/>
          <c:tx>
            <c:strRef>
              <c:f>'02'!$A$19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'02'!$C$19:$N$19</c:f>
              <c:numCache>
                <c:formatCode>0.0%</c:formatCode>
                <c:ptCount val="12"/>
                <c:pt idx="0">
                  <c:v>0.8343937909260698</c:v>
                </c:pt>
                <c:pt idx="1">
                  <c:v>0.89674880641147037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0.82874526373549495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8-408E-B34E-D07EAE578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548480"/>
        <c:axId val="280550016"/>
      </c:lineChart>
      <c:catAx>
        <c:axId val="28054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0550016"/>
        <c:crosses val="autoZero"/>
        <c:auto val="1"/>
        <c:lblAlgn val="ctr"/>
        <c:lblOffset val="100"/>
        <c:noMultiLvlLbl val="0"/>
      </c:catAx>
      <c:valAx>
        <c:axId val="28055001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05484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66" l="0.70000000000000062" r="0.70000000000000062" t="0.75000000000000966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'03'!$C$18:$N$18</c:f>
              <c:numCache>
                <c:formatCode>#,##0</c:formatCode>
                <c:ptCount val="12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7-4907-B4A0-4DF895CBDF5A}"/>
            </c:ext>
          </c:extLst>
        </c:ser>
        <c:ser>
          <c:idx val="1"/>
          <c:order val="1"/>
          <c:tx>
            <c:strRef>
              <c:f>'03'!$A$19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'03'!$C$19:$N$19</c:f>
              <c:numCache>
                <c:formatCode>#,##0</c:formatCode>
                <c:ptCount val="12"/>
                <c:pt idx="0">
                  <c:v>5.8703666455389074</c:v>
                </c:pt>
                <c:pt idx="1">
                  <c:v>3.9215017557523772</c:v>
                </c:pt>
                <c:pt idx="2">
                  <c:v>33.06799153542395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17.106207108626258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F7-4907-B4A0-4DF895CB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695168"/>
        <c:axId val="280696704"/>
      </c:lineChart>
      <c:catAx>
        <c:axId val="28069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0696704"/>
        <c:crosses val="autoZero"/>
        <c:auto val="1"/>
        <c:lblAlgn val="ctr"/>
        <c:lblOffset val="100"/>
        <c:noMultiLvlLbl val="0"/>
      </c:catAx>
      <c:valAx>
        <c:axId val="280696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06951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88" l="0.70000000000000062" r="0.70000000000000062" t="0.75000000000000988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3-49E0-9510-C89AE91FCD92}"/>
            </c:ext>
          </c:extLst>
        </c:ser>
        <c:ser>
          <c:idx val="1"/>
          <c:order val="1"/>
          <c:tx>
            <c:strRef>
              <c:f>'04'!$A$19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3-49E0-9510-C89AE91FC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301568"/>
        <c:axId val="282303104"/>
      </c:lineChart>
      <c:catAx>
        <c:axId val="28230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2303104"/>
        <c:crosses val="autoZero"/>
        <c:auto val="1"/>
        <c:lblAlgn val="ctr"/>
        <c:lblOffset val="100"/>
        <c:noMultiLvlLbl val="0"/>
      </c:catAx>
      <c:valAx>
        <c:axId val="28230310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23015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88" l="0.70000000000000062" r="0.70000000000000062" t="0.75000000000000988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D-4561-A343-8878C54379B7}"/>
            </c:ext>
          </c:extLst>
        </c:ser>
        <c:ser>
          <c:idx val="1"/>
          <c:order val="1"/>
          <c:tx>
            <c:strRef>
              <c:f>'05'!$A$19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0.99900398406374502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D-4561-A343-8878C5437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739648"/>
        <c:axId val="281741184"/>
      </c:lineChart>
      <c:catAx>
        <c:axId val="28173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1741184"/>
        <c:crosses val="autoZero"/>
        <c:auto val="1"/>
        <c:lblAlgn val="ctr"/>
        <c:lblOffset val="100"/>
        <c:noMultiLvlLbl val="0"/>
      </c:catAx>
      <c:valAx>
        <c:axId val="2817411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17396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101" l="0.70000000000000062" r="0.70000000000000062" t="0.7500000000000101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'06'!$A$18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8E1-B1D8-C7F1EADD3A82}"/>
            </c:ext>
          </c:extLst>
        </c:ser>
        <c:ser>
          <c:idx val="1"/>
          <c:order val="1"/>
          <c:tx>
            <c:strRef>
              <c:f>'06'!$A$19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0.96912350597609564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9-48E1-B1D8-C7F1EADD3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630592"/>
        <c:axId val="281632128"/>
      </c:lineChart>
      <c:catAx>
        <c:axId val="28163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1632128"/>
        <c:crosses val="autoZero"/>
        <c:auto val="1"/>
        <c:lblAlgn val="ctr"/>
        <c:lblOffset val="100"/>
        <c:noMultiLvlLbl val="0"/>
      </c:catAx>
      <c:valAx>
        <c:axId val="2816321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16305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44" l="0.70000000000000062" r="0.70000000000000062" t="0.75000000000000944" header="0.30000000000000032" footer="0.30000000000000032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'07'!$A$18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6-421C-A31B-33702E98D9BD}"/>
            </c:ext>
          </c:extLst>
        </c:ser>
        <c:ser>
          <c:idx val="1"/>
          <c:order val="1"/>
          <c:tx>
            <c:strRef>
              <c:f>'07'!$A$19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0.93127490039840632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6-421C-A31B-33702E98D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543424"/>
        <c:axId val="281544960"/>
      </c:lineChart>
      <c:catAx>
        <c:axId val="281543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1544960"/>
        <c:crosses val="autoZero"/>
        <c:auto val="1"/>
        <c:lblAlgn val="ctr"/>
        <c:lblOffset val="100"/>
        <c:noMultiLvlLbl val="0"/>
      </c:catAx>
      <c:valAx>
        <c:axId val="2815449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1543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88" l="0.70000000000000062" r="0.70000000000000062" t="0.75000000000000988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'08'!$A$18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'08'!$C$18:$N$18</c:f>
              <c:numCache>
                <c:formatCode>0.0%</c:formatCode>
                <c:ptCount val="12"/>
                <c:pt idx="0">
                  <c:v>0.98</c:v>
                </c:pt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  <c:pt idx="5">
                  <c:v>0.98</c:v>
                </c:pt>
                <c:pt idx="6">
                  <c:v>0.98</c:v>
                </c:pt>
                <c:pt idx="7">
                  <c:v>0.98</c:v>
                </c:pt>
                <c:pt idx="8">
                  <c:v>0.98</c:v>
                </c:pt>
                <c:pt idx="9">
                  <c:v>0.98</c:v>
                </c:pt>
                <c:pt idx="10">
                  <c:v>0.98</c:v>
                </c:pt>
                <c:pt idx="11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4-4FD2-94DB-61A8303CFA4B}"/>
            </c:ext>
          </c:extLst>
        </c:ser>
        <c:ser>
          <c:idx val="1"/>
          <c:order val="1"/>
          <c:tx>
            <c:strRef>
              <c:f>'08'!$A$19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'08'!$C$19:$N$19</c:f>
              <c:numCache>
                <c:formatCode>0.0%</c:formatCode>
                <c:ptCount val="12"/>
                <c:pt idx="0">
                  <c:v>0.99273858921161828</c:v>
                </c:pt>
                <c:pt idx="1">
                  <c:v>0.99168399168399168</c:v>
                </c:pt>
                <c:pt idx="2">
                  <c:v>0.98961578400830741</c:v>
                </c:pt>
                <c:pt idx="3">
                  <c:v>0.98762886597938149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4-4FD2-94DB-61A8303C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262400"/>
        <c:axId val="284263936"/>
      </c:lineChart>
      <c:catAx>
        <c:axId val="28426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4263936"/>
        <c:crosses val="autoZero"/>
        <c:auto val="1"/>
        <c:lblAlgn val="ctr"/>
        <c:lblOffset val="100"/>
        <c:noMultiLvlLbl val="0"/>
      </c:catAx>
      <c:valAx>
        <c:axId val="28426393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42624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101" l="0.70000000000000062" r="0.70000000000000062" t="0.7500000000000101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'09'!$A$18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'09'!$C$18:$N$18</c:f>
              <c:numCache>
                <c:formatCode>0.0%</c:formatCod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C-41D8-B035-269A6B1AFDE8}"/>
            </c:ext>
          </c:extLst>
        </c:ser>
        <c:ser>
          <c:idx val="1"/>
          <c:order val="1"/>
          <c:tx>
            <c:strRef>
              <c:f>'09'!$A$19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FC-41D8-B035-269A6B1AF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466176"/>
        <c:axId val="286720768"/>
      </c:lineChart>
      <c:catAx>
        <c:axId val="28446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6720768"/>
        <c:crosses val="autoZero"/>
        <c:auto val="1"/>
        <c:lblAlgn val="ctr"/>
        <c:lblOffset val="100"/>
        <c:noMultiLvlLbl val="0"/>
      </c:catAx>
      <c:valAx>
        <c:axId val="2867207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44661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44" l="0.70000000000000062" r="0.70000000000000062" t="0.75000000000000944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47625</xdr:rowOff>
    </xdr:from>
    <xdr:to>
      <xdr:col>2</xdr:col>
      <xdr:colOff>609600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D51173-990A-489F-89C1-36638F5F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47625"/>
          <a:ext cx="1000125" cy="619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751E11-B749-42DA-8C70-05BE933F2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D4198C-DD2D-4017-A65B-8D2160702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EC02A1-72B1-412C-9B3A-5F44E6B65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E7FE30-84F5-41C6-8D28-B8BD42C55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F94BF8-EE8B-4644-86FF-C162D769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6D743E-6C26-40FA-B6A0-5364A9F3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71</xdr:row>
      <xdr:rowOff>114300</xdr:rowOff>
    </xdr:from>
    <xdr:to>
      <xdr:col>4</xdr:col>
      <xdr:colOff>361949</xdr:colOff>
      <xdr:row>95</xdr:row>
      <xdr:rowOff>38100</xdr:rowOff>
    </xdr:to>
    <xdr:graphicFrame macro="">
      <xdr:nvGraphicFramePr>
        <xdr:cNvPr id="2" name="Chart 28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218659</xdr:colOff>
      <xdr:row>98</xdr:row>
      <xdr:rowOff>106018</xdr:rowOff>
    </xdr:from>
    <xdr:to>
      <xdr:col>5</xdr:col>
      <xdr:colOff>171450</xdr:colOff>
      <xdr:row>124</xdr:row>
      <xdr:rowOff>19050</xdr:rowOff>
    </xdr:to>
    <xdr:graphicFrame macro="">
      <xdr:nvGraphicFramePr>
        <xdr:cNvPr id="3" name="5 Gráfic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223630</xdr:colOff>
      <xdr:row>124</xdr:row>
      <xdr:rowOff>156955</xdr:rowOff>
    </xdr:from>
    <xdr:to>
      <xdr:col>5</xdr:col>
      <xdr:colOff>152400</xdr:colOff>
      <xdr:row>150</xdr:row>
      <xdr:rowOff>57150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448917</xdr:colOff>
      <xdr:row>73</xdr:row>
      <xdr:rowOff>39757</xdr:rowOff>
    </xdr:from>
    <xdr:to>
      <xdr:col>13</xdr:col>
      <xdr:colOff>266700</xdr:colOff>
      <xdr:row>94</xdr:row>
      <xdr:rowOff>38099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C351AD-FDC1-433E-BC0A-E3EAA6DF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1CC5A7-ACB1-4945-9128-B5E437C0C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C0F1C4-5B35-4FE9-A4E3-12C4E596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E5285E-A78B-4885-873C-C1039699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212D05-C2F1-4447-BD7B-0EAECB858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F31160-22CD-4838-8E5D-089A6651C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E8EFAE-14EF-4D9F-B30A-AF7F595D2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7E1E5-09D0-4A31-B27A-C558DFD9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workbookViewId="0">
      <pane ySplit="7" topLeftCell="A8" activePane="bottomLeft" state="frozen"/>
      <selection activeCell="F1" sqref="F1"/>
      <selection pane="bottomLeft" activeCell="K6" sqref="K6:K7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4" width="4.28515625" customWidth="1"/>
    <col min="25" max="25" width="6.85546875" customWidth="1"/>
    <col min="26" max="26" width="10.7109375" hidden="1" customWidth="1"/>
    <col min="27" max="27" width="30.42578125" hidden="1" customWidth="1"/>
    <col min="28" max="28" width="0" hidden="1" customWidth="1"/>
    <col min="29" max="30" width="11.42578125" customWidth="1"/>
  </cols>
  <sheetData>
    <row r="1" spans="1:24" ht="14.25" customHeight="1" thickTop="1" x14ac:dyDescent="0.25">
      <c r="A1" s="169"/>
      <c r="B1" s="170"/>
      <c r="C1" s="171"/>
      <c r="D1" s="316" t="s">
        <v>247</v>
      </c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4" ht="12.75" customHeight="1" x14ac:dyDescent="0.25">
      <c r="A2" s="172"/>
      <c r="B2" s="173"/>
      <c r="C2" s="174"/>
      <c r="D2" s="186" t="s">
        <v>267</v>
      </c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319"/>
    </row>
    <row r="3" spans="1:24" ht="15" customHeight="1" x14ac:dyDescent="0.25">
      <c r="A3" s="172"/>
      <c r="B3" s="173"/>
      <c r="C3" s="173"/>
      <c r="D3" s="320" t="s">
        <v>50</v>
      </c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2"/>
    </row>
    <row r="4" spans="1:24" ht="12.75" customHeight="1" thickBot="1" x14ac:dyDescent="0.3">
      <c r="A4" s="175"/>
      <c r="B4" s="176"/>
      <c r="C4" s="176"/>
      <c r="D4" s="323" t="s">
        <v>272</v>
      </c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5"/>
    </row>
    <row r="5" spans="1:24" ht="18" customHeight="1" thickTop="1" thickBot="1" x14ac:dyDescent="0.3">
      <c r="A5" s="182" t="s">
        <v>51</v>
      </c>
      <c r="B5" s="183"/>
      <c r="C5" s="183"/>
      <c r="D5" s="183"/>
      <c r="E5" s="183"/>
      <c r="F5" s="183"/>
      <c r="G5" s="183"/>
      <c r="H5" s="183"/>
      <c r="I5" s="183"/>
      <c r="J5" s="184" t="s">
        <v>262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5"/>
    </row>
    <row r="6" spans="1:24" ht="30.75" customHeight="1" thickTop="1" thickBot="1" x14ac:dyDescent="0.3">
      <c r="A6" s="177" t="s">
        <v>1</v>
      </c>
      <c r="B6" s="177"/>
      <c r="C6" s="177" t="s">
        <v>2</v>
      </c>
      <c r="D6" s="177" t="s">
        <v>5</v>
      </c>
      <c r="E6" s="180" t="s">
        <v>40</v>
      </c>
      <c r="F6" s="180" t="s">
        <v>66</v>
      </c>
      <c r="G6" s="177" t="s">
        <v>6</v>
      </c>
      <c r="H6" s="177"/>
      <c r="I6" s="177"/>
      <c r="J6" s="178" t="s">
        <v>39</v>
      </c>
      <c r="K6" s="178" t="s">
        <v>277</v>
      </c>
      <c r="L6" s="179" t="s">
        <v>274</v>
      </c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</row>
    <row r="7" spans="1:24" s="1" customFormat="1" ht="31.5" customHeight="1" thickTop="1" thickBot="1" x14ac:dyDescent="0.25">
      <c r="A7" s="177"/>
      <c r="B7" s="177"/>
      <c r="C7" s="177"/>
      <c r="D7" s="177"/>
      <c r="E7" s="181"/>
      <c r="F7" s="181"/>
      <c r="G7" s="27" t="s">
        <v>7</v>
      </c>
      <c r="H7" s="28" t="s">
        <v>61</v>
      </c>
      <c r="I7" s="29" t="s">
        <v>62</v>
      </c>
      <c r="J7" s="178"/>
      <c r="K7" s="178"/>
      <c r="L7" s="26" t="s">
        <v>54</v>
      </c>
      <c r="M7" s="26" t="s">
        <v>8</v>
      </c>
      <c r="N7" s="26" t="s">
        <v>9</v>
      </c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</row>
    <row r="8" spans="1:24" s="1" customFormat="1" ht="57.75" customHeight="1" thickTop="1" thickBot="1" x14ac:dyDescent="0.25">
      <c r="A8" s="36" t="s">
        <v>41</v>
      </c>
      <c r="B8" s="37" t="s">
        <v>98</v>
      </c>
      <c r="C8" s="33" t="s">
        <v>144</v>
      </c>
      <c r="D8" s="34" t="s">
        <v>105</v>
      </c>
      <c r="E8" s="24" t="s">
        <v>53</v>
      </c>
      <c r="F8" s="41" t="s">
        <v>79</v>
      </c>
      <c r="G8" s="42" t="s">
        <v>108</v>
      </c>
      <c r="H8" s="42" t="s">
        <v>107</v>
      </c>
      <c r="I8" s="42" t="s">
        <v>106</v>
      </c>
      <c r="J8" s="25">
        <v>0.78</v>
      </c>
      <c r="K8" s="25">
        <v>0.85</v>
      </c>
      <c r="L8" s="25">
        <f>'01'!$O$19</f>
        <v>0.62560193032678557</v>
      </c>
      <c r="M8" s="25">
        <f>'01'!$C$19</f>
        <v>0.82825448943155899</v>
      </c>
      <c r="N8" s="25">
        <f>'01'!$D$19</f>
        <v>0.88498880027565574</v>
      </c>
      <c r="O8" s="25">
        <f>'01'!$E$19</f>
        <v>0</v>
      </c>
      <c r="P8" s="25" t="str">
        <f>'01'!$F$19</f>
        <v>-</v>
      </c>
      <c r="Q8" s="25" t="str">
        <f>'01'!$G$19</f>
        <v>-</v>
      </c>
      <c r="R8" s="25" t="str">
        <f>'01'!$H$19</f>
        <v>-</v>
      </c>
      <c r="S8" s="25" t="str">
        <f>'01'!$I$19</f>
        <v>-</v>
      </c>
      <c r="T8" s="25" t="str">
        <f>'01'!$J$19</f>
        <v>-</v>
      </c>
      <c r="U8" s="25" t="str">
        <f>'01'!$K$19</f>
        <v>-</v>
      </c>
      <c r="V8" s="25" t="str">
        <f>'01'!$L$19</f>
        <v>-</v>
      </c>
      <c r="W8" s="25" t="str">
        <f>'01'!$M$19</f>
        <v>-</v>
      </c>
      <c r="X8" s="25">
        <f>'01'!$N$19</f>
        <v>0.82250755036544676</v>
      </c>
    </row>
    <row r="9" spans="1:24" s="1" customFormat="1" ht="49.5" customHeight="1" thickTop="1" thickBot="1" x14ac:dyDescent="0.25">
      <c r="A9" s="36" t="s">
        <v>42</v>
      </c>
      <c r="B9" s="37" t="s">
        <v>99</v>
      </c>
      <c r="C9" s="33" t="s">
        <v>145</v>
      </c>
      <c r="D9" s="34" t="s">
        <v>249</v>
      </c>
      <c r="E9" s="24" t="s">
        <v>53</v>
      </c>
      <c r="F9" s="41" t="s">
        <v>79</v>
      </c>
      <c r="G9" s="42" t="s">
        <v>110</v>
      </c>
      <c r="H9" s="42" t="s">
        <v>109</v>
      </c>
      <c r="I9" s="42" t="s">
        <v>106</v>
      </c>
      <c r="J9" s="25">
        <v>0.64</v>
      </c>
      <c r="K9" s="25">
        <v>0.75</v>
      </c>
      <c r="L9" s="25">
        <f>'02'!$O$19</f>
        <v>0.64541392850239698</v>
      </c>
      <c r="M9" s="25">
        <f>'02'!$C$19</f>
        <v>0.8343937909260698</v>
      </c>
      <c r="N9" s="25">
        <f>'02'!$D$19</f>
        <v>0.89674880641147037</v>
      </c>
      <c r="O9" s="25">
        <f>'02'!$E$19</f>
        <v>0</v>
      </c>
      <c r="P9" s="25" t="str">
        <f>'02'!$F$19</f>
        <v>-</v>
      </c>
      <c r="Q9" s="25" t="str">
        <f>'02'!$G$19</f>
        <v>-</v>
      </c>
      <c r="R9" s="25" t="str">
        <f>'02'!$H$19</f>
        <v>-</v>
      </c>
      <c r="S9" s="25" t="str">
        <f>'02'!$I$19</f>
        <v>-</v>
      </c>
      <c r="T9" s="25" t="str">
        <f>'02'!$J$19</f>
        <v>-</v>
      </c>
      <c r="U9" s="25" t="str">
        <f>'02'!$K$19</f>
        <v>-</v>
      </c>
      <c r="V9" s="25" t="str">
        <f>'02'!$L$19</f>
        <v>-</v>
      </c>
      <c r="W9" s="25" t="str">
        <f>'02'!$M$19</f>
        <v>-</v>
      </c>
      <c r="X9" s="25">
        <f>'02'!$N$19</f>
        <v>0.82874526373549495</v>
      </c>
    </row>
    <row r="10" spans="1:24" s="1" customFormat="1" ht="60" customHeight="1" thickTop="1" thickBot="1" x14ac:dyDescent="0.25">
      <c r="A10" s="36" t="s">
        <v>43</v>
      </c>
      <c r="B10" s="37" t="s">
        <v>176</v>
      </c>
      <c r="C10" s="33" t="s">
        <v>146</v>
      </c>
      <c r="D10" s="34" t="s">
        <v>112</v>
      </c>
      <c r="E10" s="24" t="s">
        <v>53</v>
      </c>
      <c r="F10" s="41" t="s">
        <v>79</v>
      </c>
      <c r="G10" s="42" t="s">
        <v>127</v>
      </c>
      <c r="H10" s="42" t="s">
        <v>126</v>
      </c>
      <c r="I10" s="42" t="s">
        <v>125</v>
      </c>
      <c r="J10" s="44">
        <v>16</v>
      </c>
      <c r="K10" s="44">
        <v>15</v>
      </c>
      <c r="L10" s="44">
        <f>'03'!$O$19</f>
        <v>12.392578950574688</v>
      </c>
      <c r="M10" s="44">
        <f>'03'!$C$19</f>
        <v>5.8703666455389074</v>
      </c>
      <c r="N10" s="44">
        <f>'03'!$D$19</f>
        <v>3.9215017557523772</v>
      </c>
      <c r="O10" s="44">
        <f>'03'!$E$19</f>
        <v>33.06799153542395</v>
      </c>
      <c r="P10" s="44">
        <f>'03'!$F$19</f>
        <v>0</v>
      </c>
      <c r="Q10" s="44">
        <f>'03'!$G$19</f>
        <v>0</v>
      </c>
      <c r="R10" s="44">
        <f>'03'!$H$19</f>
        <v>0</v>
      </c>
      <c r="S10" s="44">
        <f>'03'!$I$19</f>
        <v>0</v>
      </c>
      <c r="T10" s="44">
        <f>'03'!$J$19</f>
        <v>0</v>
      </c>
      <c r="U10" s="44">
        <f>'03'!$K$19</f>
        <v>0</v>
      </c>
      <c r="V10" s="44">
        <f>'03'!$L$19</f>
        <v>0</v>
      </c>
      <c r="W10" s="44">
        <f>'03'!$M$19</f>
        <v>0</v>
      </c>
      <c r="X10" s="44">
        <f>'03'!$N$19</f>
        <v>17.106207108626258</v>
      </c>
    </row>
    <row r="11" spans="1:24" s="1" customFormat="1" ht="52.5" customHeight="1" thickTop="1" thickBot="1" x14ac:dyDescent="0.25">
      <c r="A11" s="36" t="s">
        <v>44</v>
      </c>
      <c r="B11" s="37" t="s">
        <v>177</v>
      </c>
      <c r="C11" s="33" t="s">
        <v>147</v>
      </c>
      <c r="D11" s="34" t="s">
        <v>113</v>
      </c>
      <c r="E11" s="24" t="s">
        <v>53</v>
      </c>
      <c r="F11" s="41" t="s">
        <v>79</v>
      </c>
      <c r="G11" s="42" t="s">
        <v>108</v>
      </c>
      <c r="H11" s="42" t="s">
        <v>107</v>
      </c>
      <c r="I11" s="42" t="s">
        <v>106</v>
      </c>
      <c r="J11" s="25">
        <v>0.92</v>
      </c>
      <c r="K11" s="25">
        <v>1</v>
      </c>
      <c r="L11" s="25" t="str">
        <f>'04'!$O$19</f>
        <v>-</v>
      </c>
      <c r="M11" s="25" t="str">
        <f>'04'!$C$19</f>
        <v>-</v>
      </c>
      <c r="N11" s="25" t="str">
        <f>'04'!$D$19</f>
        <v>-</v>
      </c>
      <c r="O11" s="25" t="str">
        <f>'04'!$E$19</f>
        <v>-</v>
      </c>
      <c r="P11" s="25" t="str">
        <f>'04'!$F$19</f>
        <v>-</v>
      </c>
      <c r="Q11" s="25" t="str">
        <f>'04'!$G$19</f>
        <v>-</v>
      </c>
      <c r="R11" s="25" t="str">
        <f>'04'!$H$19</f>
        <v>-</v>
      </c>
      <c r="S11" s="25" t="str">
        <f>'04'!$I$19</f>
        <v>-</v>
      </c>
      <c r="T11" s="25" t="str">
        <f>'04'!$J$19</f>
        <v>-</v>
      </c>
      <c r="U11" s="25" t="str">
        <f>'04'!$K$19</f>
        <v>-</v>
      </c>
      <c r="V11" s="25" t="str">
        <f>'04'!$L$19</f>
        <v>-</v>
      </c>
      <c r="W11" s="25" t="str">
        <f>'04'!$M$19</f>
        <v>-</v>
      </c>
      <c r="X11" s="25" t="str">
        <f>'04'!$N$19</f>
        <v>-</v>
      </c>
    </row>
    <row r="12" spans="1:24" s="1" customFormat="1" ht="60" customHeight="1" thickTop="1" thickBot="1" x14ac:dyDescent="0.25">
      <c r="A12" s="36" t="s">
        <v>45</v>
      </c>
      <c r="B12" s="37" t="s">
        <v>172</v>
      </c>
      <c r="C12" s="33" t="s">
        <v>149</v>
      </c>
      <c r="D12" s="34" t="s">
        <v>250</v>
      </c>
      <c r="E12" s="24" t="s">
        <v>53</v>
      </c>
      <c r="F12" s="41" t="s">
        <v>79</v>
      </c>
      <c r="G12" s="42" t="s">
        <v>108</v>
      </c>
      <c r="H12" s="42" t="s">
        <v>107</v>
      </c>
      <c r="I12" s="42" t="s">
        <v>106</v>
      </c>
      <c r="J12" s="25">
        <v>0.99</v>
      </c>
      <c r="K12" s="25">
        <v>1</v>
      </c>
      <c r="L12" s="25">
        <f>'05'!$O$19</f>
        <v>4.8426294820717128</v>
      </c>
      <c r="M12" s="25" t="str">
        <f>'05'!$C$19</f>
        <v>-</v>
      </c>
      <c r="N12" s="25" t="str">
        <f>'05'!$D$19</f>
        <v>-</v>
      </c>
      <c r="O12" s="25" t="str">
        <f>'05'!$E$19</f>
        <v>-</v>
      </c>
      <c r="P12" s="25" t="str">
        <f>'05'!$F$19</f>
        <v>-</v>
      </c>
      <c r="Q12" s="25" t="str">
        <f>'05'!$G$19</f>
        <v>-</v>
      </c>
      <c r="R12" s="25" t="str">
        <f>'05'!$H$19</f>
        <v>-</v>
      </c>
      <c r="S12" s="25" t="str">
        <f>'05'!$I$19</f>
        <v>-</v>
      </c>
      <c r="T12" s="25" t="str">
        <f>'05'!$J$19</f>
        <v>-</v>
      </c>
      <c r="U12" s="25" t="str">
        <f>'05'!$K$19</f>
        <v>-</v>
      </c>
      <c r="V12" s="25" t="str">
        <f>'05'!$L$19</f>
        <v>-</v>
      </c>
      <c r="W12" s="25" t="str">
        <f>'05'!$M$19</f>
        <v>-</v>
      </c>
      <c r="X12" s="25">
        <f>'05'!$N$19</f>
        <v>0.99900398406374502</v>
      </c>
    </row>
    <row r="13" spans="1:24" s="1" customFormat="1" ht="52.5" customHeight="1" thickTop="1" thickBot="1" x14ac:dyDescent="0.25">
      <c r="A13" s="36" t="s">
        <v>46</v>
      </c>
      <c r="B13" s="38" t="s">
        <v>173</v>
      </c>
      <c r="C13" s="33" t="s">
        <v>148</v>
      </c>
      <c r="D13" s="34" t="s">
        <v>251</v>
      </c>
      <c r="E13" s="24" t="s">
        <v>53</v>
      </c>
      <c r="F13" s="41" t="s">
        <v>79</v>
      </c>
      <c r="G13" s="42" t="s">
        <v>108</v>
      </c>
      <c r="H13" s="42" t="s">
        <v>107</v>
      </c>
      <c r="I13" s="42" t="s">
        <v>106</v>
      </c>
      <c r="J13" s="25">
        <v>0.94</v>
      </c>
      <c r="K13" s="25">
        <v>1</v>
      </c>
      <c r="L13" s="25">
        <f>'06'!$O$19</f>
        <v>4.7011952191235062</v>
      </c>
      <c r="M13" s="25" t="str">
        <f>'06'!$C$19</f>
        <v>-</v>
      </c>
      <c r="N13" s="25" t="str">
        <f>'06'!$D$19</f>
        <v>-</v>
      </c>
      <c r="O13" s="25" t="str">
        <f>'06'!$E$19</f>
        <v>-</v>
      </c>
      <c r="P13" s="25" t="str">
        <f>'06'!$F$19</f>
        <v>-</v>
      </c>
      <c r="Q13" s="25" t="str">
        <f>'06'!$G$19</f>
        <v>-</v>
      </c>
      <c r="R13" s="25" t="str">
        <f>'06'!$H$19</f>
        <v>-</v>
      </c>
      <c r="S13" s="25" t="str">
        <f>'06'!$I$19</f>
        <v>-</v>
      </c>
      <c r="T13" s="25" t="str">
        <f>'06'!$J$19</f>
        <v>-</v>
      </c>
      <c r="U13" s="25" t="str">
        <f>'06'!$K$19</f>
        <v>-</v>
      </c>
      <c r="V13" s="25" t="str">
        <f>'06'!$L$19</f>
        <v>-</v>
      </c>
      <c r="W13" s="25" t="str">
        <f>'06'!$M$19</f>
        <v>-</v>
      </c>
      <c r="X13" s="25">
        <f>'06'!$N$19</f>
        <v>0.96912350597609564</v>
      </c>
    </row>
    <row r="14" spans="1:24" s="1" customFormat="1" ht="48.75" customHeight="1" thickTop="1" thickBot="1" x14ac:dyDescent="0.25">
      <c r="A14" s="36" t="s">
        <v>47</v>
      </c>
      <c r="B14" s="37" t="s">
        <v>174</v>
      </c>
      <c r="C14" s="33" t="s">
        <v>150</v>
      </c>
      <c r="D14" s="34" t="s">
        <v>252</v>
      </c>
      <c r="E14" s="24" t="s">
        <v>53</v>
      </c>
      <c r="F14" s="41" t="s">
        <v>79</v>
      </c>
      <c r="G14" s="42" t="s">
        <v>108</v>
      </c>
      <c r="H14" s="42" t="s">
        <v>107</v>
      </c>
      <c r="I14" s="42" t="s">
        <v>106</v>
      </c>
      <c r="J14" s="25">
        <v>0.95</v>
      </c>
      <c r="K14" s="25">
        <v>1</v>
      </c>
      <c r="L14" s="25" t="str">
        <f>'07'!$O$19</f>
        <v>-</v>
      </c>
      <c r="M14" s="25" t="str">
        <f>'07'!$C$19</f>
        <v>-</v>
      </c>
      <c r="N14" s="25" t="str">
        <f>'07'!$D$19</f>
        <v>-</v>
      </c>
      <c r="O14" s="25" t="str">
        <f>'07'!$E$19</f>
        <v>-</v>
      </c>
      <c r="P14" s="25" t="str">
        <f>'07'!$F$19</f>
        <v>-</v>
      </c>
      <c r="Q14" s="25" t="str">
        <f>'07'!$G$19</f>
        <v>-</v>
      </c>
      <c r="R14" s="25" t="str">
        <f>'07'!$H$19</f>
        <v>-</v>
      </c>
      <c r="S14" s="25" t="str">
        <f>'07'!$I$19</f>
        <v>-</v>
      </c>
      <c r="T14" s="25" t="str">
        <f>'07'!$J$19</f>
        <v>-</v>
      </c>
      <c r="U14" s="25" t="str">
        <f>'07'!$K$19</f>
        <v>-</v>
      </c>
      <c r="V14" s="25" t="str">
        <f>'07'!$L$19</f>
        <v>-</v>
      </c>
      <c r="W14" s="25" t="str">
        <f>'07'!$M$19</f>
        <v>-</v>
      </c>
      <c r="X14" s="25">
        <f>'07'!$N$19</f>
        <v>0.93127490039840632</v>
      </c>
    </row>
    <row r="15" spans="1:24" s="1" customFormat="1" ht="47.25" customHeight="1" thickTop="1" thickBot="1" x14ac:dyDescent="0.25">
      <c r="A15" s="36" t="s">
        <v>48</v>
      </c>
      <c r="B15" s="37" t="s">
        <v>100</v>
      </c>
      <c r="C15" s="33" t="s">
        <v>152</v>
      </c>
      <c r="D15" s="34" t="s">
        <v>253</v>
      </c>
      <c r="E15" s="24" t="s">
        <v>53</v>
      </c>
      <c r="F15" s="41" t="s">
        <v>79</v>
      </c>
      <c r="G15" s="42" t="s">
        <v>108</v>
      </c>
      <c r="H15" s="42" t="s">
        <v>107</v>
      </c>
      <c r="I15" s="42" t="s">
        <v>106</v>
      </c>
      <c r="J15" s="25">
        <v>0.96</v>
      </c>
      <c r="K15" s="25">
        <v>0.98</v>
      </c>
      <c r="L15" s="25">
        <f>'08'!$O$19</f>
        <v>0.99238996297819826</v>
      </c>
      <c r="M15" s="25">
        <f>'08'!$C$19</f>
        <v>0.99273858921161828</v>
      </c>
      <c r="N15" s="25">
        <f>'08'!$D$19</f>
        <v>0.99168399168399168</v>
      </c>
      <c r="O15" s="25">
        <f>'08'!$E$19</f>
        <v>0.98961578400830741</v>
      </c>
      <c r="P15" s="25">
        <f>'08'!$F$19</f>
        <v>0.98762886597938149</v>
      </c>
      <c r="Q15" s="25" t="str">
        <f>'08'!$G$19</f>
        <v>-</v>
      </c>
      <c r="R15" s="25" t="str">
        <f>'08'!$H$19</f>
        <v>-</v>
      </c>
      <c r="S15" s="25" t="str">
        <f>'08'!$I$19</f>
        <v>-</v>
      </c>
      <c r="T15" s="25" t="str">
        <f>'08'!$J$19</f>
        <v>-</v>
      </c>
      <c r="U15" s="25" t="str">
        <f>'08'!$K$19</f>
        <v>-</v>
      </c>
      <c r="V15" s="25" t="str">
        <f>'08'!$L$19</f>
        <v>-</v>
      </c>
      <c r="W15" s="25" t="str">
        <f>'08'!$M$19</f>
        <v>-</v>
      </c>
      <c r="X15" s="25">
        <f>'08'!$N$19</f>
        <v>1</v>
      </c>
    </row>
    <row r="16" spans="1:24" ht="49.5" customHeight="1" thickTop="1" thickBot="1" x14ac:dyDescent="0.3">
      <c r="A16" s="36" t="s">
        <v>49</v>
      </c>
      <c r="B16" s="37" t="s">
        <v>101</v>
      </c>
      <c r="C16" s="33" t="s">
        <v>157</v>
      </c>
      <c r="D16" s="34" t="s">
        <v>114</v>
      </c>
      <c r="E16" s="24" t="s">
        <v>53</v>
      </c>
      <c r="F16" s="41" t="s">
        <v>79</v>
      </c>
      <c r="G16" s="42" t="s">
        <v>117</v>
      </c>
      <c r="H16" s="42" t="s">
        <v>116</v>
      </c>
      <c r="I16" s="42" t="s">
        <v>115</v>
      </c>
      <c r="J16" s="25">
        <v>0.05</v>
      </c>
      <c r="K16" s="25">
        <v>0.05</v>
      </c>
      <c r="L16" s="25" t="str">
        <f>'09'!$O$19</f>
        <v>-</v>
      </c>
      <c r="M16" s="25" t="str">
        <f>'09'!$C$19</f>
        <v>-</v>
      </c>
      <c r="N16" s="25" t="str">
        <f>'09'!$D$19</f>
        <v>-</v>
      </c>
      <c r="O16" s="25" t="str">
        <f>'09'!$E$19</f>
        <v>-</v>
      </c>
      <c r="P16" s="25" t="str">
        <f>'09'!$F$19</f>
        <v>-</v>
      </c>
      <c r="Q16" s="25" t="str">
        <f>'09'!$G$19</f>
        <v>-</v>
      </c>
      <c r="R16" s="25" t="str">
        <f>'09'!$H$19</f>
        <v>-</v>
      </c>
      <c r="S16" s="25" t="str">
        <f>'09'!$I$19</f>
        <v>-</v>
      </c>
      <c r="T16" s="25" t="str">
        <f>'09'!$J$19</f>
        <v>-</v>
      </c>
      <c r="U16" s="25" t="str">
        <f>'09'!$K$19</f>
        <v>-</v>
      </c>
      <c r="V16" s="25" t="str">
        <f>'09'!$L$19</f>
        <v>-</v>
      </c>
      <c r="W16" s="25" t="str">
        <f>'09'!$M$19</f>
        <v>-</v>
      </c>
      <c r="X16" s="25" t="str">
        <f>'09'!$N$19</f>
        <v>-</v>
      </c>
    </row>
    <row r="17" spans="1:26" ht="48.75" customHeight="1" thickTop="1" thickBot="1" x14ac:dyDescent="0.3">
      <c r="A17" s="36" t="s">
        <v>94</v>
      </c>
      <c r="B17" s="37" t="s">
        <v>102</v>
      </c>
      <c r="C17" s="33" t="s">
        <v>151</v>
      </c>
      <c r="D17" s="34" t="s">
        <v>118</v>
      </c>
      <c r="E17" s="24" t="s">
        <v>53</v>
      </c>
      <c r="F17" s="41" t="s">
        <v>79</v>
      </c>
      <c r="G17" s="42" t="s">
        <v>121</v>
      </c>
      <c r="H17" s="42" t="s">
        <v>120</v>
      </c>
      <c r="I17" s="42" t="s">
        <v>119</v>
      </c>
      <c r="J17" s="25">
        <v>0.48</v>
      </c>
      <c r="K17" s="25">
        <v>0.45</v>
      </c>
      <c r="L17" s="25">
        <f>'10'!$O$19</f>
        <v>0.22801708512616831</v>
      </c>
      <c r="M17" s="25">
        <f>'10'!$C$19</f>
        <v>0.49282639885222379</v>
      </c>
      <c r="N17" s="25">
        <f>'10'!$D$19</f>
        <v>0.11398662401861007</v>
      </c>
      <c r="O17" s="25">
        <f>'10'!$E$19</f>
        <v>0.49991733259851201</v>
      </c>
      <c r="P17" s="25" t="e">
        <f>'10'!$F$19</f>
        <v>#DIV/0!</v>
      </c>
      <c r="Q17" s="25" t="str">
        <f>'10'!$G$19</f>
        <v>-</v>
      </c>
      <c r="R17" s="25" t="str">
        <f>'10'!$H$19</f>
        <v>-</v>
      </c>
      <c r="S17" s="25" t="str">
        <f>'10'!$I$19</f>
        <v>-</v>
      </c>
      <c r="T17" s="25" t="str">
        <f>'10'!$J$19</f>
        <v>-</v>
      </c>
      <c r="U17" s="25" t="str">
        <f>'10'!$K$19</f>
        <v>-</v>
      </c>
      <c r="V17" s="25" t="str">
        <f>'10'!$L$19</f>
        <v>-</v>
      </c>
      <c r="W17" s="25" t="str">
        <f>'10'!$M$19</f>
        <v>-</v>
      </c>
      <c r="X17" s="25">
        <f>'10'!$N$19</f>
        <v>0.42745309758401945</v>
      </c>
    </row>
    <row r="18" spans="1:26" ht="47.25" customHeight="1" thickTop="1" thickBot="1" x14ac:dyDescent="0.3">
      <c r="A18" s="36" t="s">
        <v>95</v>
      </c>
      <c r="B18" s="37" t="s">
        <v>175</v>
      </c>
      <c r="C18" s="33" t="s">
        <v>153</v>
      </c>
      <c r="D18" s="34" t="s">
        <v>166</v>
      </c>
      <c r="E18" s="24" t="s">
        <v>53</v>
      </c>
      <c r="F18" s="41" t="s">
        <v>79</v>
      </c>
      <c r="G18" s="42" t="s">
        <v>108</v>
      </c>
      <c r="H18" s="42" t="s">
        <v>107</v>
      </c>
      <c r="I18" s="42" t="s">
        <v>106</v>
      </c>
      <c r="J18" s="25">
        <v>0.98</v>
      </c>
      <c r="K18" s="25">
        <v>0.99</v>
      </c>
      <c r="L18" s="25">
        <f>'11'!$O$19</f>
        <v>1</v>
      </c>
      <c r="M18" s="25">
        <f>'11'!$C$19</f>
        <v>1</v>
      </c>
      <c r="N18" s="25">
        <f>'11'!$D$19</f>
        <v>1</v>
      </c>
      <c r="O18" s="25">
        <f>'11'!$E$19</f>
        <v>1</v>
      </c>
      <c r="P18" s="25">
        <f>'11'!$F$19</f>
        <v>1</v>
      </c>
      <c r="Q18" s="25">
        <f>'11'!$G$19</f>
        <v>1</v>
      </c>
      <c r="R18" s="25">
        <f>'11'!$H$19</f>
        <v>1</v>
      </c>
      <c r="S18" s="25">
        <f>'11'!$I$19</f>
        <v>1</v>
      </c>
      <c r="T18" s="25">
        <f>'11'!$J$19</f>
        <v>1</v>
      </c>
      <c r="U18" s="25">
        <f>'11'!$K$19</f>
        <v>1</v>
      </c>
      <c r="V18" s="25">
        <f>'11'!$L$19</f>
        <v>1</v>
      </c>
      <c r="W18" s="25">
        <f>'11'!$M$19</f>
        <v>1</v>
      </c>
      <c r="X18" s="25">
        <f>'11'!$N$19</f>
        <v>1</v>
      </c>
      <c r="Y18" s="47"/>
    </row>
    <row r="19" spans="1:26" ht="48.75" customHeight="1" thickTop="1" thickBot="1" x14ac:dyDescent="0.3">
      <c r="A19" s="36" t="s">
        <v>96</v>
      </c>
      <c r="B19" s="37" t="s">
        <v>103</v>
      </c>
      <c r="C19" s="33" t="s">
        <v>154</v>
      </c>
      <c r="D19" s="34" t="s">
        <v>254</v>
      </c>
      <c r="E19" s="24" t="s">
        <v>65</v>
      </c>
      <c r="F19" s="41" t="s">
        <v>79</v>
      </c>
      <c r="G19" s="42" t="s">
        <v>124</v>
      </c>
      <c r="H19" s="42" t="s">
        <v>123</v>
      </c>
      <c r="I19" s="42" t="s">
        <v>122</v>
      </c>
      <c r="J19" s="25">
        <v>1</v>
      </c>
      <c r="K19" s="25">
        <v>1</v>
      </c>
      <c r="L19" s="25">
        <f>'12'!$O$19</f>
        <v>0.41666666666666669</v>
      </c>
      <c r="M19" s="25">
        <f>'12'!$C$19</f>
        <v>1</v>
      </c>
      <c r="N19" s="25">
        <f>'12'!$D$19</f>
        <v>1</v>
      </c>
      <c r="O19" s="25">
        <f>'12'!$E$19</f>
        <v>1</v>
      </c>
      <c r="P19" s="25">
        <f>'12'!$F$19</f>
        <v>1</v>
      </c>
      <c r="Q19" s="25">
        <f>'12'!$G$19</f>
        <v>1</v>
      </c>
      <c r="R19" s="25" t="str">
        <f>'12'!$H$19</f>
        <v>-</v>
      </c>
      <c r="S19" s="25" t="str">
        <f>'12'!$I$19</f>
        <v>-</v>
      </c>
      <c r="T19" s="25" t="str">
        <f>'12'!$J$19</f>
        <v>-</v>
      </c>
      <c r="U19" s="25" t="str">
        <f>'12'!$K$19</f>
        <v>-</v>
      </c>
      <c r="V19" s="25" t="str">
        <f>'12'!$L$19</f>
        <v>-</v>
      </c>
      <c r="W19" s="25" t="str">
        <f>'12'!$M$19</f>
        <v>-</v>
      </c>
      <c r="X19" s="25" t="str">
        <f>'12'!$N$19</f>
        <v>-</v>
      </c>
    </row>
    <row r="20" spans="1:26" ht="48.75" customHeight="1" thickTop="1" thickBot="1" x14ac:dyDescent="0.3">
      <c r="A20" s="36" t="s">
        <v>97</v>
      </c>
      <c r="B20" s="37" t="s">
        <v>158</v>
      </c>
      <c r="C20" s="33" t="s">
        <v>159</v>
      </c>
      <c r="D20" s="34" t="s">
        <v>255</v>
      </c>
      <c r="E20" s="24" t="s">
        <v>53</v>
      </c>
      <c r="F20" s="41" t="s">
        <v>79</v>
      </c>
      <c r="G20" s="42" t="s">
        <v>160</v>
      </c>
      <c r="H20" s="42" t="s">
        <v>161</v>
      </c>
      <c r="I20" s="42" t="s">
        <v>162</v>
      </c>
      <c r="J20" s="25" t="s">
        <v>270</v>
      </c>
      <c r="K20" s="25" t="s">
        <v>270</v>
      </c>
      <c r="L20" s="25">
        <f>'13'!$O$19</f>
        <v>6.1703002879473468E-4</v>
      </c>
      <c r="M20" s="25">
        <f>'13'!$C$19</f>
        <v>0</v>
      </c>
      <c r="N20" s="25">
        <f>'13'!$D$19</f>
        <v>3.1185031185031187E-3</v>
      </c>
      <c r="O20" s="25">
        <f>'13'!$E$19</f>
        <v>0</v>
      </c>
      <c r="P20" s="25">
        <f>'13'!$F$19</f>
        <v>0</v>
      </c>
      <c r="Q20" s="25" t="str">
        <f>'13'!$G$19</f>
        <v>-</v>
      </c>
      <c r="R20" s="25" t="str">
        <f>'13'!$H$19</f>
        <v>-</v>
      </c>
      <c r="S20" s="25" t="str">
        <f>'13'!$I$19</f>
        <v>-</v>
      </c>
      <c r="T20" s="25" t="str">
        <f>'13'!$J$19</f>
        <v>-</v>
      </c>
      <c r="U20" s="25" t="str">
        <f>'13'!$K$19</f>
        <v>-</v>
      </c>
      <c r="V20" s="25" t="str">
        <f>'13'!$L$19</f>
        <v>-</v>
      </c>
      <c r="W20" s="25" t="str">
        <f>'13'!$M$19</f>
        <v>-</v>
      </c>
      <c r="X20" s="25">
        <f>'13'!$N$19</f>
        <v>0</v>
      </c>
    </row>
    <row r="21" spans="1:26" ht="49.5" customHeight="1" thickTop="1" thickBot="1" x14ac:dyDescent="0.3">
      <c r="A21" s="36" t="s">
        <v>156</v>
      </c>
      <c r="B21" s="37" t="s">
        <v>104</v>
      </c>
      <c r="C21" s="33" t="s">
        <v>155</v>
      </c>
      <c r="D21" s="34" t="s">
        <v>143</v>
      </c>
      <c r="E21" s="24" t="s">
        <v>53</v>
      </c>
      <c r="F21" s="41" t="s">
        <v>79</v>
      </c>
      <c r="G21" s="42" t="s">
        <v>124</v>
      </c>
      <c r="H21" s="42" t="s">
        <v>123</v>
      </c>
      <c r="I21" s="42" t="s">
        <v>122</v>
      </c>
      <c r="J21" s="25">
        <v>0.95</v>
      </c>
      <c r="K21" s="25">
        <v>1</v>
      </c>
      <c r="L21" s="25" t="str">
        <f>'14'!$O$19</f>
        <v>-</v>
      </c>
      <c r="M21" s="25" t="str">
        <f>'14'!$C$19</f>
        <v>-</v>
      </c>
      <c r="N21" s="25" t="str">
        <f>'14'!$D$19</f>
        <v>-</v>
      </c>
      <c r="O21" s="25" t="str">
        <f>'14'!$E$19</f>
        <v>-</v>
      </c>
      <c r="P21" s="25" t="str">
        <f>'14'!$F$19</f>
        <v>-</v>
      </c>
      <c r="Q21" s="25" t="str">
        <f>'14'!$G$19</f>
        <v>-</v>
      </c>
      <c r="R21" s="25" t="str">
        <f>'14'!$H$19</f>
        <v>-</v>
      </c>
      <c r="S21" s="25" t="str">
        <f>'14'!$I$19</f>
        <v>-</v>
      </c>
      <c r="T21" s="25" t="str">
        <f>'14'!$J$19</f>
        <v>-</v>
      </c>
      <c r="U21" s="25" t="str">
        <f>'14'!$K$19</f>
        <v>-</v>
      </c>
      <c r="V21" s="25" t="str">
        <f>'14'!$L$19</f>
        <v>-</v>
      </c>
      <c r="W21" s="25" t="str">
        <f>'14'!$M$19</f>
        <v>-</v>
      </c>
      <c r="X21" s="25">
        <f>'14'!$N$19</f>
        <v>0.93127490039840632</v>
      </c>
    </row>
    <row r="22" spans="1:26" ht="6.75" customHeight="1" thickTop="1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</row>
    <row r="24" spans="1:26" x14ac:dyDescent="0.25">
      <c r="Z24" s="40" t="s">
        <v>67</v>
      </c>
    </row>
    <row r="25" spans="1:26" x14ac:dyDescent="0.25">
      <c r="Z25" s="40" t="s">
        <v>68</v>
      </c>
    </row>
    <row r="26" spans="1:26" x14ac:dyDescent="0.25">
      <c r="Z26" s="40" t="s">
        <v>69</v>
      </c>
    </row>
    <row r="27" spans="1:26" x14ac:dyDescent="0.25">
      <c r="Z27" s="40" t="s">
        <v>70</v>
      </c>
    </row>
    <row r="28" spans="1:26" x14ac:dyDescent="0.25">
      <c r="Z28" s="40" t="s">
        <v>71</v>
      </c>
    </row>
    <row r="29" spans="1:26" x14ac:dyDescent="0.25">
      <c r="Z29" s="40" t="s">
        <v>72</v>
      </c>
    </row>
    <row r="30" spans="1:26" x14ac:dyDescent="0.25">
      <c r="Z30" s="40" t="s">
        <v>73</v>
      </c>
    </row>
    <row r="31" spans="1:26" x14ac:dyDescent="0.25">
      <c r="Z31" s="40" t="s">
        <v>74</v>
      </c>
    </row>
    <row r="32" spans="1:26" x14ac:dyDescent="0.25">
      <c r="Z32" s="40" t="s">
        <v>168</v>
      </c>
    </row>
    <row r="33" spans="26:26" x14ac:dyDescent="0.25">
      <c r="Z33" s="40" t="s">
        <v>263</v>
      </c>
    </row>
    <row r="34" spans="26:26" x14ac:dyDescent="0.25">
      <c r="Z34" s="40" t="s">
        <v>264</v>
      </c>
    </row>
    <row r="35" spans="26:26" x14ac:dyDescent="0.25">
      <c r="Z35" s="40" t="s">
        <v>265</v>
      </c>
    </row>
    <row r="36" spans="26:26" x14ac:dyDescent="0.25">
      <c r="Z36" s="40" t="s">
        <v>262</v>
      </c>
    </row>
    <row r="37" spans="26:26" x14ac:dyDescent="0.25">
      <c r="Z37" s="40" t="s">
        <v>75</v>
      </c>
    </row>
    <row r="38" spans="26:26" x14ac:dyDescent="0.25">
      <c r="Z38" s="40" t="s">
        <v>76</v>
      </c>
    </row>
    <row r="39" spans="26:26" x14ac:dyDescent="0.25">
      <c r="Z39" s="40" t="s">
        <v>77</v>
      </c>
    </row>
    <row r="40" spans="26:26" x14ac:dyDescent="0.25">
      <c r="Z40" s="40" t="s">
        <v>78</v>
      </c>
    </row>
    <row r="42" spans="26:26" x14ac:dyDescent="0.25">
      <c r="Z42" s="40" t="s">
        <v>79</v>
      </c>
    </row>
    <row r="43" spans="26:26" x14ac:dyDescent="0.25">
      <c r="Z43" s="40" t="s">
        <v>56</v>
      </c>
    </row>
    <row r="44" spans="26:26" x14ac:dyDescent="0.25">
      <c r="Z44" s="40" t="s">
        <v>57</v>
      </c>
    </row>
    <row r="46" spans="26:26" x14ac:dyDescent="0.25">
      <c r="Z46" s="39" t="s">
        <v>4</v>
      </c>
    </row>
    <row r="47" spans="26:26" x14ac:dyDescent="0.25">
      <c r="Z47" s="39" t="s">
        <v>63</v>
      </c>
    </row>
    <row r="48" spans="26:26" x14ac:dyDescent="0.25">
      <c r="Z48" s="39" t="s">
        <v>53</v>
      </c>
    </row>
    <row r="49" spans="26:26" x14ac:dyDescent="0.25">
      <c r="Z49" s="39" t="s">
        <v>64</v>
      </c>
    </row>
    <row r="50" spans="26:26" x14ac:dyDescent="0.25">
      <c r="Z50" s="39" t="s">
        <v>65</v>
      </c>
    </row>
    <row r="51" spans="26:26" x14ac:dyDescent="0.25">
      <c r="Z51" s="39" t="s">
        <v>52</v>
      </c>
    </row>
  </sheetData>
  <mergeCells count="17">
    <mergeCell ref="A22:X22"/>
    <mergeCell ref="D1:X1"/>
    <mergeCell ref="D4:X4"/>
    <mergeCell ref="A1:C4"/>
    <mergeCell ref="A6:B7"/>
    <mergeCell ref="J6:J7"/>
    <mergeCell ref="K6:K7"/>
    <mergeCell ref="L6:X6"/>
    <mergeCell ref="C6:C7"/>
    <mergeCell ref="D6:D7"/>
    <mergeCell ref="E6:E7"/>
    <mergeCell ref="G6:I6"/>
    <mergeCell ref="A5:I5"/>
    <mergeCell ref="J5:X5"/>
    <mergeCell ref="F6:F7"/>
    <mergeCell ref="D2:X2"/>
    <mergeCell ref="D3:X3"/>
  </mergeCells>
  <conditionalFormatting sqref="L8:X8">
    <cfRule type="cellIs" dxfId="29" priority="1" operator="between">
      <formula>0.8</formula>
      <formula>1000000</formula>
    </cfRule>
    <cfRule type="cellIs" dxfId="28" priority="2" operator="between">
      <formula>0.59</formula>
      <formula>0.7999</formula>
    </cfRule>
    <cfRule type="cellIs" dxfId="27" priority="3" operator="lessThan">
      <formula>0.59</formula>
    </cfRule>
  </conditionalFormatting>
  <conditionalFormatting sqref="L9:X9">
    <cfRule type="cellIs" dxfId="26" priority="31" operator="between">
      <formula>0.71</formula>
      <formula>100000</formula>
    </cfRule>
    <cfRule type="cellIs" dxfId="25" priority="32" operator="between">
      <formula>0.6</formula>
      <formula>0.709</formula>
    </cfRule>
    <cfRule type="cellIs" dxfId="24" priority="33" operator="between">
      <formula>0</formula>
      <formula>0.599</formula>
    </cfRule>
  </conditionalFormatting>
  <conditionalFormatting sqref="L10:X10">
    <cfRule type="cellIs" dxfId="23" priority="28" operator="between">
      <formula>45</formula>
      <formula>1000000000</formula>
    </cfRule>
    <cfRule type="cellIs" dxfId="22" priority="29" operator="between">
      <formula>31</formula>
      <formula>44.9</formula>
    </cfRule>
    <cfRule type="cellIs" dxfId="21" priority="30" operator="between">
      <formula>0</formula>
      <formula>30.9</formula>
    </cfRule>
  </conditionalFormatting>
  <conditionalFormatting sqref="L11:X15">
    <cfRule type="cellIs" dxfId="20" priority="25" operator="between">
      <formula>0.8</formula>
      <formula>10000000</formula>
    </cfRule>
    <cfRule type="cellIs" dxfId="19" priority="26" operator="between">
      <formula>0.6</formula>
      <formula>0.799</formula>
    </cfRule>
    <cfRule type="cellIs" dxfId="18" priority="27" operator="between">
      <formula>0</formula>
      <formula>0.599</formula>
    </cfRule>
  </conditionalFormatting>
  <conditionalFormatting sqref="L16:X16">
    <cfRule type="cellIs" dxfId="17" priority="22" operator="between">
      <formula>0.081</formula>
      <formula>100000000</formula>
    </cfRule>
    <cfRule type="cellIs" dxfId="16" priority="23" operator="between">
      <formula>0.05</formula>
      <formula>0.08</formula>
    </cfRule>
    <cfRule type="cellIs" dxfId="15" priority="24" operator="between">
      <formula>0</formula>
      <formula>0.049</formula>
    </cfRule>
  </conditionalFormatting>
  <conditionalFormatting sqref="L17:X17">
    <cfRule type="cellIs" dxfId="14" priority="19" operator="between">
      <formula>0.501</formula>
      <formula>1000000</formula>
    </cfRule>
    <cfRule type="cellIs" dxfId="13" priority="20" operator="between">
      <formula>0.3</formula>
      <formula>0.5</formula>
    </cfRule>
    <cfRule type="cellIs" dxfId="12" priority="21" operator="between">
      <formula>0</formula>
      <formula>0.299</formula>
    </cfRule>
  </conditionalFormatting>
  <conditionalFormatting sqref="L18:X18">
    <cfRule type="cellIs" dxfId="11" priority="16" operator="between">
      <formula>0.8</formula>
      <formula>1000000</formula>
    </cfRule>
    <cfRule type="cellIs" dxfId="10" priority="17" operator="between">
      <formula>0.6</formula>
      <formula>0.799</formula>
    </cfRule>
    <cfRule type="cellIs" dxfId="9" priority="18" operator="between">
      <formula>0</formula>
      <formula>0.599</formula>
    </cfRule>
  </conditionalFormatting>
  <conditionalFormatting sqref="L19:X19 L21:X21">
    <cfRule type="cellIs" dxfId="8" priority="13" operator="between">
      <formula>0.91</formula>
      <formula>10000000</formula>
    </cfRule>
    <cfRule type="cellIs" dxfId="7" priority="14" operator="between">
      <formula>0.71</formula>
      <formula>0.909</formula>
    </cfRule>
    <cfRule type="cellIs" dxfId="6" priority="15" operator="between">
      <formula>0</formula>
      <formula>0.709</formula>
    </cfRule>
  </conditionalFormatting>
  <conditionalFormatting sqref="L20:X20">
    <cfRule type="cellIs" dxfId="5" priority="7" operator="between">
      <formula>0.201</formula>
      <formula>1000000</formula>
    </cfRule>
    <cfRule type="cellIs" dxfId="4" priority="8" operator="between">
      <formula>0.101</formula>
      <formula>0.2</formula>
    </cfRule>
    <cfRule type="cellIs" dxfId="3" priority="9" operator="between">
      <formula>0</formula>
      <formula>0.1</formula>
    </cfRule>
  </conditionalFormatting>
  <conditionalFormatting sqref="U16">
    <cfRule type="cellIs" dxfId="2" priority="4" operator="between">
      <formula>0.501</formula>
      <formula>1000000</formula>
    </cfRule>
    <cfRule type="cellIs" dxfId="1" priority="5" operator="between">
      <formula>0.3</formula>
      <formula>0.5</formula>
    </cfRule>
    <cfRule type="cellIs" dxfId="0" priority="6" operator="between">
      <formula>0</formula>
      <formula>0.299</formula>
    </cfRule>
  </conditionalFormatting>
  <dataValidations count="3">
    <dataValidation type="list" allowBlank="1" showInputMessage="1" showErrorMessage="1" sqref="E8:E21" xr:uid="{00000000-0002-0000-0000-000000000000}">
      <formula1>$Z$46:$Z$51</formula1>
    </dataValidation>
    <dataValidation type="list" allowBlank="1" showInputMessage="1" showErrorMessage="1" sqref="J5:X5" xr:uid="{00000000-0002-0000-0000-000001000000}">
      <formula1>$Z$24:$Z$40</formula1>
    </dataValidation>
    <dataValidation type="list" allowBlank="1" showInputMessage="1" showErrorMessage="1" sqref="F8:F21" xr:uid="{00000000-0002-0000-0000-000002000000}">
      <formula1>$Z$42:$Z$44</formula1>
    </dataValidation>
  </dataValidations>
  <pageMargins left="0.27559055118110237" right="0.27559055118110237" top="0.19685039370078741" bottom="0.19685039370078741" header="0.31496062992125984" footer="0.11811023622047245"/>
  <pageSetup scale="75" orientation="landscape" horizontalDpi="4294967294" verticalDpi="4294967294" r:id="rId1"/>
  <headerFooter>
    <oddFooter>&amp;R&amp;8Diseñado por: Wilson Andrade González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85546875" style="2" customWidth="1"/>
    <col min="17" max="18" width="6.85546875" style="2" hidden="1" customWidth="1"/>
    <col min="19" max="20" width="6.8554687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2.7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.7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Nataga'!$B16</f>
        <v>Calidad del Agua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Nataga'!F16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Nataga'!A16</f>
        <v>IN09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39" customHeight="1" thickBot="1" x14ac:dyDescent="0.3">
      <c r="A11" s="236" t="str">
        <f>'SET SP Nataga'!$C16</f>
        <v>Monitorear la calidad de agua suministrada a los usuarios por parte de Aguas de Huila.</v>
      </c>
      <c r="B11" s="237"/>
      <c r="C11" s="237"/>
      <c r="D11" s="237"/>
      <c r="E11" s="14" t="s">
        <v>35</v>
      </c>
      <c r="F11" s="303" t="str">
        <f>'SET SP Nataga'!$D16</f>
        <v xml:space="preserve">Medición de acuerdo al IRCA          </v>
      </c>
      <c r="G11" s="305"/>
      <c r="H11" s="12">
        <f>$O18</f>
        <v>0.05</v>
      </c>
      <c r="I11" s="13" t="str">
        <f>'SET SP Nataga'!$E16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+'08'!A15:O15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99">
        <f t="shared" ref="C17:N17" si="0">$O$17</f>
        <v>0.05</v>
      </c>
      <c r="D17" s="99">
        <f t="shared" si="0"/>
        <v>0.05</v>
      </c>
      <c r="E17" s="99">
        <f t="shared" si="0"/>
        <v>0.05</v>
      </c>
      <c r="F17" s="99">
        <f t="shared" si="0"/>
        <v>0.05</v>
      </c>
      <c r="G17" s="99">
        <f t="shared" si="0"/>
        <v>0.05</v>
      </c>
      <c r="H17" s="99">
        <f t="shared" si="0"/>
        <v>0.05</v>
      </c>
      <c r="I17" s="99">
        <f t="shared" si="0"/>
        <v>0.05</v>
      </c>
      <c r="J17" s="99">
        <f t="shared" si="0"/>
        <v>0.05</v>
      </c>
      <c r="K17" s="99">
        <f t="shared" si="0"/>
        <v>0.05</v>
      </c>
      <c r="L17" s="99">
        <f t="shared" si="0"/>
        <v>0.05</v>
      </c>
      <c r="M17" s="99">
        <f t="shared" si="0"/>
        <v>0.05</v>
      </c>
      <c r="N17" s="99">
        <f t="shared" si="0"/>
        <v>0.05</v>
      </c>
      <c r="O17" s="98">
        <f>'SET SP Nataga'!J16</f>
        <v>0.05</v>
      </c>
      <c r="V17" s="7"/>
      <c r="W17" s="8"/>
      <c r="X17" s="8"/>
    </row>
    <row r="18" spans="1:24" ht="17.25" customHeight="1" x14ac:dyDescent="0.25">
      <c r="A18" s="267" t="str">
        <f>+'08'!A18:B18</f>
        <v>META  AÑO 2025</v>
      </c>
      <c r="B18" s="268"/>
      <c r="C18" s="99">
        <f t="shared" ref="C18:N18" si="1">$O$18</f>
        <v>0.05</v>
      </c>
      <c r="D18" s="99">
        <f t="shared" si="1"/>
        <v>0.05</v>
      </c>
      <c r="E18" s="99">
        <f t="shared" si="1"/>
        <v>0.05</v>
      </c>
      <c r="F18" s="99">
        <f t="shared" si="1"/>
        <v>0.05</v>
      </c>
      <c r="G18" s="99">
        <f t="shared" si="1"/>
        <v>0.05</v>
      </c>
      <c r="H18" s="99">
        <f t="shared" si="1"/>
        <v>0.05</v>
      </c>
      <c r="I18" s="99">
        <f t="shared" si="1"/>
        <v>0.05</v>
      </c>
      <c r="J18" s="99">
        <f t="shared" si="1"/>
        <v>0.05</v>
      </c>
      <c r="K18" s="99">
        <f t="shared" si="1"/>
        <v>0.05</v>
      </c>
      <c r="L18" s="99">
        <f t="shared" si="1"/>
        <v>0.05</v>
      </c>
      <c r="M18" s="99">
        <f t="shared" si="1"/>
        <v>0.05</v>
      </c>
      <c r="N18" s="99">
        <f t="shared" si="1"/>
        <v>0.05</v>
      </c>
      <c r="O18" s="98">
        <f>'SET SP Nataga'!K16</f>
        <v>0.05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 t="str">
        <f>IF((C20),C20,"-")</f>
        <v>-</v>
      </c>
      <c r="D19" s="10" t="str">
        <f>IF((D20),D20,"-")</f>
        <v>-</v>
      </c>
      <c r="E19" s="10" t="str">
        <f t="shared" ref="E19:N19" si="2">IF((E20),E20,"-")</f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>IF(ISNUMBER(O20),O20,"-")</f>
        <v>-</v>
      </c>
      <c r="V19" s="7"/>
      <c r="W19" s="8"/>
      <c r="X19" s="8"/>
    </row>
    <row r="20" spans="1:24" ht="23.25" customHeight="1" x14ac:dyDescent="0.25">
      <c r="A20" s="273" t="s">
        <v>37</v>
      </c>
      <c r="B20" s="31" t="s">
        <v>139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 t="e">
        <f>AVERAGE(C20:N20)</f>
        <v>#DIV/0!</v>
      </c>
      <c r="V20" s="7"/>
      <c r="W20" s="8"/>
      <c r="X20" s="8"/>
    </row>
    <row r="21" spans="1:24" ht="21" customHeight="1" x14ac:dyDescent="0.25">
      <c r="A21" s="273"/>
      <c r="B21" s="95"/>
      <c r="C21" s="5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7.2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Nataga'!$G16</f>
        <v>Menor al 5%</v>
      </c>
      <c r="E24" s="265"/>
      <c r="F24" s="265"/>
      <c r="G24" s="266"/>
      <c r="H24" s="264" t="str">
        <f>'SET SP Nataga'!$H16</f>
        <v>Entre el 5% y el 8%</v>
      </c>
      <c r="I24" s="265"/>
      <c r="J24" s="265"/>
      <c r="K24" s="266"/>
      <c r="L24" s="264" t="str">
        <f>'SET SP Nataga'!$I16</f>
        <v>Mayor al 8%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 t="s">
        <v>3</v>
      </c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5.2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35">
        <v>0.05</v>
      </c>
    </row>
    <row r="61" spans="17:17" x14ac:dyDescent="0.25">
      <c r="Q61" s="35">
        <v>4.9000000000000002E-2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L25:O25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34:M34"/>
    <mergeCell ref="A35:M35"/>
    <mergeCell ref="A30:M30"/>
    <mergeCell ref="N30:O30"/>
    <mergeCell ref="D1:O1"/>
    <mergeCell ref="D4:O4"/>
    <mergeCell ref="A5:E5"/>
    <mergeCell ref="F5:O5"/>
    <mergeCell ref="A6:E6"/>
    <mergeCell ref="F6:O6"/>
    <mergeCell ref="A1:C4"/>
    <mergeCell ref="N10:O10"/>
    <mergeCell ref="A11:D11"/>
    <mergeCell ref="F11:G11"/>
    <mergeCell ref="L24:O24"/>
    <mergeCell ref="D25:G25"/>
    <mergeCell ref="N39:O39"/>
    <mergeCell ref="N40:O40"/>
    <mergeCell ref="A36:M36"/>
    <mergeCell ref="A37:M37"/>
    <mergeCell ref="A38:M38"/>
    <mergeCell ref="A39:M39"/>
    <mergeCell ref="A40:M40"/>
    <mergeCell ref="N34:O34"/>
    <mergeCell ref="N35:O35"/>
    <mergeCell ref="N36:O36"/>
    <mergeCell ref="N37:O37"/>
    <mergeCell ref="N38:O38"/>
    <mergeCell ref="D2:O2"/>
    <mergeCell ref="D3:O3"/>
    <mergeCell ref="N31:O31"/>
    <mergeCell ref="N32:O32"/>
    <mergeCell ref="N33:O33"/>
    <mergeCell ref="A31:M31"/>
    <mergeCell ref="A32:M32"/>
    <mergeCell ref="A33:M33"/>
    <mergeCell ref="H25:K25"/>
    <mergeCell ref="A13:O13"/>
    <mergeCell ref="A16:B16"/>
    <mergeCell ref="I9:I10"/>
    <mergeCell ref="J9:K10"/>
    <mergeCell ref="L9:O9"/>
    <mergeCell ref="L10:M10"/>
    <mergeCell ref="H9:H10"/>
  </mergeCells>
  <dataValidations count="1">
    <dataValidation type="list" allowBlank="1" showInputMessage="1" showErrorMessage="1" sqref="J11:O11" xr:uid="{00000000-0002-0000-09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X54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2.7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.7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.7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Nataga'!$B17</f>
        <v>Índice de agua no contabilizada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Nataga'!F17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Nataga'!A17</f>
        <v>IN10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8" customHeight="1" thickBot="1" x14ac:dyDescent="0.3">
      <c r="A11" s="236" t="str">
        <f>'SET SP Nataga'!$C17</f>
        <v>Lograr que Aguas del Huila facture la totalidad del agua producida.</v>
      </c>
      <c r="B11" s="237"/>
      <c r="C11" s="237"/>
      <c r="D11" s="237"/>
      <c r="E11" s="14" t="s">
        <v>35</v>
      </c>
      <c r="F11" s="303" t="str">
        <f>'SET SP Nataga'!$D17</f>
        <v xml:space="preserve">(Volumen  producido - Volumen facturado /   Volumen  producido)   x 100          </v>
      </c>
      <c r="G11" s="305"/>
      <c r="H11" s="12">
        <f>$O18</f>
        <v>0.45</v>
      </c>
      <c r="I11" s="13" t="str">
        <f>'SET SP Nataga'!$E17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+'09'!A15:O15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99">
        <f t="shared" ref="C17:N17" si="0">$O$17</f>
        <v>0.48</v>
      </c>
      <c r="D17" s="99">
        <f t="shared" si="0"/>
        <v>0.48</v>
      </c>
      <c r="E17" s="99">
        <f t="shared" si="0"/>
        <v>0.48</v>
      </c>
      <c r="F17" s="99">
        <f t="shared" si="0"/>
        <v>0.48</v>
      </c>
      <c r="G17" s="99">
        <f t="shared" si="0"/>
        <v>0.48</v>
      </c>
      <c r="H17" s="99">
        <f t="shared" si="0"/>
        <v>0.48</v>
      </c>
      <c r="I17" s="99">
        <f t="shared" si="0"/>
        <v>0.48</v>
      </c>
      <c r="J17" s="99">
        <f t="shared" si="0"/>
        <v>0.48</v>
      </c>
      <c r="K17" s="99">
        <f t="shared" si="0"/>
        <v>0.48</v>
      </c>
      <c r="L17" s="99">
        <f t="shared" si="0"/>
        <v>0.48</v>
      </c>
      <c r="M17" s="99">
        <f t="shared" si="0"/>
        <v>0.48</v>
      </c>
      <c r="N17" s="99">
        <f t="shared" si="0"/>
        <v>0.48</v>
      </c>
      <c r="O17" s="98">
        <f>'SET SP Nataga'!J17</f>
        <v>0.48</v>
      </c>
      <c r="V17" s="7"/>
      <c r="W17" s="8"/>
      <c r="X17" s="8"/>
    </row>
    <row r="18" spans="1:24" ht="17.25" customHeight="1" x14ac:dyDescent="0.25">
      <c r="A18" s="267" t="str">
        <f>+'09'!A18:B18</f>
        <v>META  AÑO 2025</v>
      </c>
      <c r="B18" s="268"/>
      <c r="C18" s="99">
        <f t="shared" ref="C18:N18" si="1">$O$18</f>
        <v>0.45</v>
      </c>
      <c r="D18" s="99">
        <f t="shared" si="1"/>
        <v>0.45</v>
      </c>
      <c r="E18" s="99">
        <f t="shared" si="1"/>
        <v>0.45</v>
      </c>
      <c r="F18" s="99">
        <f t="shared" si="1"/>
        <v>0.45</v>
      </c>
      <c r="G18" s="99">
        <f t="shared" si="1"/>
        <v>0.45</v>
      </c>
      <c r="H18" s="99">
        <f t="shared" si="1"/>
        <v>0.45</v>
      </c>
      <c r="I18" s="99">
        <f t="shared" si="1"/>
        <v>0.45</v>
      </c>
      <c r="J18" s="99">
        <f t="shared" si="1"/>
        <v>0.45</v>
      </c>
      <c r="K18" s="99">
        <f t="shared" si="1"/>
        <v>0.45</v>
      </c>
      <c r="L18" s="99">
        <f t="shared" si="1"/>
        <v>0.45</v>
      </c>
      <c r="M18" s="99">
        <f t="shared" si="1"/>
        <v>0.45</v>
      </c>
      <c r="N18" s="99">
        <f t="shared" si="1"/>
        <v>0.45</v>
      </c>
      <c r="O18" s="98">
        <f>'SET SP Nataga'!K17</f>
        <v>0.45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IF((C21),(C20-C21)/C20,"-")</f>
        <v>0.49282639885222379</v>
      </c>
      <c r="D19" s="10">
        <f t="shared" ref="D19:O19" si="2">IF((D21),(D20-D21)/D20,"-")</f>
        <v>0.11398662401861007</v>
      </c>
      <c r="E19" s="10">
        <f t="shared" si="2"/>
        <v>0.49991733259851201</v>
      </c>
      <c r="F19" s="10" t="e">
        <f t="shared" si="2"/>
        <v>#DIV/0!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0.42745309758401945</v>
      </c>
      <c r="O19" s="11">
        <f t="shared" si="2"/>
        <v>0.22801708512616831</v>
      </c>
      <c r="V19" s="7"/>
      <c r="W19" s="8"/>
      <c r="X19" s="8"/>
    </row>
    <row r="20" spans="1:24" ht="17.25" customHeight="1" x14ac:dyDescent="0.25">
      <c r="A20" s="273" t="s">
        <v>37</v>
      </c>
      <c r="B20" s="31" t="s">
        <v>140</v>
      </c>
      <c r="C20" s="20">
        <f>+NATAGA2020!D$9</f>
        <v>16728</v>
      </c>
      <c r="D20" s="20">
        <f>+NATAGA2020!E$9</f>
        <v>13756</v>
      </c>
      <c r="E20" s="20">
        <f>+NATAGA2020!F$9</f>
        <v>18145</v>
      </c>
      <c r="F20" s="20">
        <f>+NATAGA2020!G$9</f>
        <v>0</v>
      </c>
      <c r="G20" s="20">
        <f>+NATAGA2020!H$9</f>
        <v>0</v>
      </c>
      <c r="H20" s="20">
        <f>+NATAGA2020!I$9</f>
        <v>0</v>
      </c>
      <c r="I20" s="20">
        <f>+NATAGA2020!J$9</f>
        <v>0</v>
      </c>
      <c r="J20" s="20">
        <f>+NATAGA2020!K$9</f>
        <v>0</v>
      </c>
      <c r="K20" s="20">
        <f>+NATAGA2020!L$9</f>
        <v>0</v>
      </c>
      <c r="L20" s="20">
        <f>+NATAGA2020!M$9</f>
        <v>0</v>
      </c>
      <c r="M20" s="20">
        <f>+NATAGA2020!N$9</f>
        <v>0</v>
      </c>
      <c r="N20" s="20">
        <f>+NATAGA2020!O$9</f>
        <v>14818</v>
      </c>
      <c r="O20" s="21">
        <f>SUM(C20:N20)</f>
        <v>63447</v>
      </c>
      <c r="V20" s="7"/>
      <c r="W20" s="8"/>
      <c r="X20" s="8"/>
    </row>
    <row r="21" spans="1:24" ht="17.25" customHeight="1" x14ac:dyDescent="0.25">
      <c r="A21" s="273"/>
      <c r="B21" s="31" t="s">
        <v>141</v>
      </c>
      <c r="C21" s="20">
        <f>+NATAGA2020!D$10</f>
        <v>8484</v>
      </c>
      <c r="D21" s="20">
        <f>+NATAGA2020!E$10</f>
        <v>12188</v>
      </c>
      <c r="E21" s="20">
        <f>+NATAGA2020!F$10</f>
        <v>9074</v>
      </c>
      <c r="F21" s="20">
        <f>+NATAGA2020!G$10</f>
        <v>10750</v>
      </c>
      <c r="G21" s="20">
        <f>+NATAGA2020!H$10</f>
        <v>0</v>
      </c>
      <c r="H21" s="20">
        <f>+NATAGA2020!I$10</f>
        <v>0</v>
      </c>
      <c r="I21" s="20">
        <f>+NATAGA2020!J$10</f>
        <v>0</v>
      </c>
      <c r="J21" s="20">
        <f>+NATAGA2020!K$10</f>
        <v>0</v>
      </c>
      <c r="K21" s="20">
        <f>+NATAGA2020!L$10</f>
        <v>0</v>
      </c>
      <c r="L21" s="20">
        <f>+NATAGA2020!M$10</f>
        <v>0</v>
      </c>
      <c r="M21" s="20">
        <f>+NATAGA2020!N$10</f>
        <v>0</v>
      </c>
      <c r="N21" s="20">
        <f>+NATAGA2020!O$10</f>
        <v>8484</v>
      </c>
      <c r="O21" s="21">
        <f>SUM(C21:N21)</f>
        <v>48980</v>
      </c>
      <c r="V21" s="7"/>
      <c r="W21" s="8"/>
      <c r="X21" s="8"/>
    </row>
    <row r="22" spans="1:24" ht="12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Nataga'!$G17</f>
        <v>Menor al 30%</v>
      </c>
      <c r="E24" s="265"/>
      <c r="F24" s="265"/>
      <c r="G24" s="266"/>
      <c r="H24" s="264" t="str">
        <f>'SET SP Nataga'!$H17</f>
        <v>Entre el 30% y el 50%</v>
      </c>
      <c r="I24" s="265"/>
      <c r="J24" s="265"/>
      <c r="K24" s="266"/>
      <c r="L24" s="264" t="str">
        <f>'SET SP Nataga'!$I17</f>
        <v>Mayor al 50%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15.75" thickBot="1" x14ac:dyDescent="0.3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4"/>
      <c r="O43" s="195"/>
    </row>
    <row r="44" spans="1:17" ht="14.25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Q44" s="40" t="s">
        <v>85</v>
      </c>
    </row>
    <row r="45" spans="1:17" ht="14.25" x14ac:dyDescent="0.2">
      <c r="Q45" s="40" t="s">
        <v>86</v>
      </c>
    </row>
    <row r="46" spans="1:17" ht="14.25" x14ac:dyDescent="0.2">
      <c r="Q46" s="40" t="s">
        <v>87</v>
      </c>
    </row>
    <row r="47" spans="1:17" ht="14.25" x14ac:dyDescent="0.2">
      <c r="Q47" s="40" t="s">
        <v>88</v>
      </c>
    </row>
    <row r="48" spans="1:17" ht="14.25" x14ac:dyDescent="0.2">
      <c r="Q48" s="40" t="s">
        <v>89</v>
      </c>
    </row>
    <row r="49" spans="17:17" ht="14.25" x14ac:dyDescent="0.2">
      <c r="Q49" s="40" t="s">
        <v>90</v>
      </c>
    </row>
    <row r="50" spans="17:17" ht="14.25" x14ac:dyDescent="0.2">
      <c r="Q50" s="40" t="s">
        <v>91</v>
      </c>
    </row>
    <row r="51" spans="17:17" ht="14.25" x14ac:dyDescent="0.2">
      <c r="Q51" s="40" t="s">
        <v>92</v>
      </c>
    </row>
    <row r="53" spans="17:17" x14ac:dyDescent="0.25">
      <c r="Q53" s="35">
        <v>0.3</v>
      </c>
    </row>
    <row r="54" spans="17:17" x14ac:dyDescent="0.25">
      <c r="Q54" s="35">
        <v>0.29899999999999999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</mergeCells>
  <dataValidations count="1">
    <dataValidation type="list" allowBlank="1" showInputMessage="1" showErrorMessage="1" sqref="J11:O11" xr:uid="{00000000-0002-0000-0A00-000000000000}">
      <formula1>$Q$44:$Q$51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X61"/>
  <sheetViews>
    <sheetView topLeftCell="A8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4" width="7.7109375" style="2" customWidth="1"/>
    <col min="15" max="15" width="8.42578125" style="2" customWidth="1"/>
    <col min="16" max="16" width="5.7109375" style="2" customWidth="1"/>
    <col min="17" max="18" width="5.7109375" style="2" hidden="1" customWidth="1"/>
    <col min="19" max="19" width="5.71093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3.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Nataga'!$B18</f>
        <v>Continuidad del servicio (Acueducto)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Nataga'!F18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Nataga'!A18</f>
        <v>IN11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38.25" customHeight="1" thickBot="1" x14ac:dyDescent="0.3">
      <c r="A11" s="236" t="str">
        <f>'SET SP Nataga'!$C18</f>
        <v>Prestar el servico de acueducto en forma continua las 24 horas.</v>
      </c>
      <c r="B11" s="237"/>
      <c r="C11" s="237"/>
      <c r="D11" s="237"/>
      <c r="E11" s="14" t="s">
        <v>35</v>
      </c>
      <c r="F11" s="303" t="str">
        <f>'SET SP Nataga'!$D18</f>
        <v>(720 - Horas sin servicio mensuales) / 720) * 100</v>
      </c>
      <c r="G11" s="305"/>
      <c r="H11" s="12">
        <f>$O18</f>
        <v>0.99</v>
      </c>
      <c r="I11" s="13" t="str">
        <f>'SET SP Nataga'!$E18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tr">
        <f>+'10'!A15:O15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>
        <f t="shared" ref="C17:N17" si="0">$O$17</f>
        <v>0.98</v>
      </c>
      <c r="D17" s="50">
        <f t="shared" si="0"/>
        <v>0.98</v>
      </c>
      <c r="E17" s="50">
        <f t="shared" si="0"/>
        <v>0.98</v>
      </c>
      <c r="F17" s="50">
        <f t="shared" si="0"/>
        <v>0.98</v>
      </c>
      <c r="G17" s="50">
        <f t="shared" si="0"/>
        <v>0.98</v>
      </c>
      <c r="H17" s="50">
        <f t="shared" si="0"/>
        <v>0.98</v>
      </c>
      <c r="I17" s="50">
        <f t="shared" si="0"/>
        <v>0.98</v>
      </c>
      <c r="J17" s="50">
        <f t="shared" si="0"/>
        <v>0.98</v>
      </c>
      <c r="K17" s="50">
        <f t="shared" si="0"/>
        <v>0.98</v>
      </c>
      <c r="L17" s="50">
        <f t="shared" si="0"/>
        <v>0.98</v>
      </c>
      <c r="M17" s="50">
        <f t="shared" si="0"/>
        <v>0.98</v>
      </c>
      <c r="N17" s="50">
        <f t="shared" si="0"/>
        <v>0.98</v>
      </c>
      <c r="O17" s="104">
        <f>'SET SP Nataga'!J18</f>
        <v>0.98</v>
      </c>
      <c r="V17" s="7"/>
      <c r="W17" s="8"/>
      <c r="X17" s="8"/>
    </row>
    <row r="18" spans="1:24" ht="17.25" customHeight="1" x14ac:dyDescent="0.25">
      <c r="A18" s="267" t="str">
        <f>+'10'!A18:B18</f>
        <v>META  AÑO 2025</v>
      </c>
      <c r="B18" s="268"/>
      <c r="C18" s="50">
        <f t="shared" ref="C18:N18" si="1">$O$18</f>
        <v>0.99</v>
      </c>
      <c r="D18" s="50">
        <f t="shared" si="1"/>
        <v>0.99</v>
      </c>
      <c r="E18" s="50">
        <f t="shared" si="1"/>
        <v>0.99</v>
      </c>
      <c r="F18" s="50">
        <f t="shared" si="1"/>
        <v>0.99</v>
      </c>
      <c r="G18" s="50">
        <f t="shared" si="1"/>
        <v>0.99</v>
      </c>
      <c r="H18" s="50">
        <f t="shared" si="1"/>
        <v>0.99</v>
      </c>
      <c r="I18" s="50">
        <f t="shared" si="1"/>
        <v>0.99</v>
      </c>
      <c r="J18" s="50">
        <f t="shared" si="1"/>
        <v>0.99</v>
      </c>
      <c r="K18" s="50">
        <f t="shared" si="1"/>
        <v>0.99</v>
      </c>
      <c r="L18" s="50">
        <f t="shared" si="1"/>
        <v>0.99</v>
      </c>
      <c r="M18" s="50">
        <f t="shared" si="1"/>
        <v>0.99</v>
      </c>
      <c r="N18" s="50">
        <f t="shared" si="1"/>
        <v>0.99</v>
      </c>
      <c r="O18" s="104">
        <f>'SET SP Nataga'!K18</f>
        <v>0.99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IF(ISNUMBER(C20),(720-C20)/720,"-")</f>
        <v>1</v>
      </c>
      <c r="D19" s="10">
        <f t="shared" ref="D19:N19" si="2">IF(ISNUMBER(D20),(720-D20)/720,"-")</f>
        <v>1</v>
      </c>
      <c r="E19" s="10">
        <f t="shared" si="2"/>
        <v>1</v>
      </c>
      <c r="F19" s="10">
        <f t="shared" si="2"/>
        <v>1</v>
      </c>
      <c r="G19" s="10">
        <f t="shared" si="2"/>
        <v>1</v>
      </c>
      <c r="H19" s="10">
        <f t="shared" si="2"/>
        <v>1</v>
      </c>
      <c r="I19" s="10">
        <f t="shared" si="2"/>
        <v>1</v>
      </c>
      <c r="J19" s="10">
        <f t="shared" si="2"/>
        <v>1</v>
      </c>
      <c r="K19" s="10">
        <f t="shared" si="2"/>
        <v>1</v>
      </c>
      <c r="L19" s="10">
        <f t="shared" si="2"/>
        <v>1</v>
      </c>
      <c r="M19" s="10">
        <f t="shared" si="2"/>
        <v>1</v>
      </c>
      <c r="N19" s="10">
        <f t="shared" si="2"/>
        <v>1</v>
      </c>
      <c r="O19" s="11">
        <f>IF(ISNUMBER(O20),(720-O20)/720,"-")</f>
        <v>1</v>
      </c>
      <c r="V19" s="7"/>
      <c r="W19" s="8"/>
      <c r="X19" s="8"/>
    </row>
    <row r="20" spans="1:24" ht="16.5" customHeight="1" x14ac:dyDescent="0.25">
      <c r="A20" s="273" t="s">
        <v>37</v>
      </c>
      <c r="B20" s="31" t="s">
        <v>165</v>
      </c>
      <c r="C20" s="3">
        <f>+NATAGA2020!D39</f>
        <v>0</v>
      </c>
      <c r="D20" s="3">
        <f>+NATAGA2020!E39</f>
        <v>0</v>
      </c>
      <c r="E20" s="3">
        <f>+NATAGA2020!F39</f>
        <v>0</v>
      </c>
      <c r="F20" s="3">
        <f>+NATAGA2020!G39</f>
        <v>0</v>
      </c>
      <c r="G20" s="3">
        <f>+NATAGA2020!H39</f>
        <v>0</v>
      </c>
      <c r="H20" s="3">
        <f>+NATAGA2020!I39</f>
        <v>0</v>
      </c>
      <c r="I20" s="3">
        <f>+NATAGA2020!J39</f>
        <v>0</v>
      </c>
      <c r="J20" s="3">
        <f>+NATAGA2020!K39</f>
        <v>0</v>
      </c>
      <c r="K20" s="3">
        <f>+NATAGA2020!L39</f>
        <v>0</v>
      </c>
      <c r="L20" s="3">
        <f>+NATAGA2020!M39</f>
        <v>0</v>
      </c>
      <c r="M20" s="3">
        <f>+NATAGA2020!N39</f>
        <v>0</v>
      </c>
      <c r="N20" s="3">
        <f>+NATAGA2020!O39</f>
        <v>0</v>
      </c>
      <c r="O20" s="57">
        <f>AVERAGE(C20:N20)</f>
        <v>0</v>
      </c>
      <c r="V20" s="7"/>
      <c r="W20" s="8"/>
      <c r="X20" s="8"/>
    </row>
    <row r="21" spans="1:24" ht="13.5" customHeight="1" x14ac:dyDescent="0.25">
      <c r="A21" s="273"/>
      <c r="B21" s="95" t="s">
        <v>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4.2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4.2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Nataga'!$G18</f>
        <v>Entre 80% y 100%</v>
      </c>
      <c r="E24" s="265"/>
      <c r="F24" s="265"/>
      <c r="G24" s="266"/>
      <c r="H24" s="264" t="str">
        <f>'SET SP Nataga'!$H18</f>
        <v>Entre 60% y 79%</v>
      </c>
      <c r="I24" s="265"/>
      <c r="J24" s="265"/>
      <c r="K24" s="266"/>
      <c r="L24" s="264" t="str">
        <f>'SET SP Nataga'!$I18</f>
        <v>Menor al 59%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customHeight="1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194"/>
      <c r="O43" s="195"/>
    </row>
    <row r="44" spans="1:17" ht="5.2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</v>
      </c>
    </row>
    <row r="61" spans="17:17" x14ac:dyDescent="0.25">
      <c r="Q61" s="9">
        <v>0.95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</mergeCells>
  <dataValidations count="1">
    <dataValidation type="list" allowBlank="1" showInputMessage="1" showErrorMessage="1" sqref="J11:O11" xr:uid="{00000000-0002-0000-0B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X61"/>
  <sheetViews>
    <sheetView topLeftCell="A11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140625" style="2" customWidth="1"/>
    <col min="17" max="18" width="6.140625" style="2" hidden="1" customWidth="1"/>
    <col min="19" max="19" width="6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2.7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4.2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.7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Nataga'!$B19</f>
        <v>Continuidad del Servicio (Aseo)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Nataga'!F19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Nataga'!A19</f>
        <v>IN12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7.25" customHeight="1" thickBot="1" x14ac:dyDescent="0.3">
      <c r="A11" s="236" t="str">
        <f>'SET SP Nataga'!$C19</f>
        <v>Recolectar los residuos solidos en los dias y rutas establecidas en el PEGIRS.</v>
      </c>
      <c r="B11" s="237"/>
      <c r="C11" s="237"/>
      <c r="D11" s="237"/>
      <c r="E11" s="14" t="s">
        <v>35</v>
      </c>
      <c r="F11" s="303" t="str">
        <f>'SET SP Nataga'!$D19</f>
        <v>Número de dias de recolección de residuos sólidos por semestre / 144</v>
      </c>
      <c r="G11" s="305"/>
      <c r="H11" s="12">
        <f>$O18</f>
        <v>1</v>
      </c>
      <c r="I11" s="13" t="str">
        <f>'SET SP Nataga'!$E19</f>
        <v>Semestral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+'11'!A15:O15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>
        <f t="shared" ref="C17:N17" si="0">$O$17</f>
        <v>1</v>
      </c>
      <c r="D17" s="50">
        <f t="shared" si="0"/>
        <v>1</v>
      </c>
      <c r="E17" s="50">
        <f t="shared" si="0"/>
        <v>1</v>
      </c>
      <c r="F17" s="50">
        <f t="shared" si="0"/>
        <v>1</v>
      </c>
      <c r="G17" s="50">
        <f t="shared" si="0"/>
        <v>1</v>
      </c>
      <c r="H17" s="50">
        <f t="shared" si="0"/>
        <v>1</v>
      </c>
      <c r="I17" s="50">
        <f t="shared" si="0"/>
        <v>1</v>
      </c>
      <c r="J17" s="50">
        <f t="shared" si="0"/>
        <v>1</v>
      </c>
      <c r="K17" s="50">
        <f t="shared" si="0"/>
        <v>1</v>
      </c>
      <c r="L17" s="50">
        <f t="shared" si="0"/>
        <v>1</v>
      </c>
      <c r="M17" s="50">
        <f t="shared" si="0"/>
        <v>1</v>
      </c>
      <c r="N17" s="50">
        <f t="shared" si="0"/>
        <v>1</v>
      </c>
      <c r="O17" s="104">
        <f>'SET SP Nataga'!J19</f>
        <v>1</v>
      </c>
      <c r="V17" s="7"/>
      <c r="W17" s="8"/>
      <c r="X17" s="8"/>
    </row>
    <row r="18" spans="1:24" ht="17.25" customHeight="1" x14ac:dyDescent="0.25">
      <c r="A18" s="267" t="str">
        <f>+'11'!A18:B18</f>
        <v>META  AÑO 2025</v>
      </c>
      <c r="B18" s="268"/>
      <c r="C18" s="50">
        <f t="shared" ref="C18:N18" si="1">$O$18</f>
        <v>1</v>
      </c>
      <c r="D18" s="50">
        <f t="shared" si="1"/>
        <v>1</v>
      </c>
      <c r="E18" s="50">
        <f t="shared" si="1"/>
        <v>1</v>
      </c>
      <c r="F18" s="50">
        <f t="shared" si="1"/>
        <v>1</v>
      </c>
      <c r="G18" s="50">
        <f t="shared" si="1"/>
        <v>1</v>
      </c>
      <c r="H18" s="50">
        <f t="shared" si="1"/>
        <v>1</v>
      </c>
      <c r="I18" s="50">
        <f t="shared" si="1"/>
        <v>1</v>
      </c>
      <c r="J18" s="50">
        <f t="shared" si="1"/>
        <v>1</v>
      </c>
      <c r="K18" s="50">
        <f t="shared" si="1"/>
        <v>1</v>
      </c>
      <c r="L18" s="50">
        <f t="shared" si="1"/>
        <v>1</v>
      </c>
      <c r="M18" s="50">
        <f t="shared" si="1"/>
        <v>1</v>
      </c>
      <c r="N18" s="50">
        <f t="shared" si="1"/>
        <v>1</v>
      </c>
      <c r="O18" s="104">
        <f>'SET SP Nataga'!K19</f>
        <v>1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IF(ISNUMBER(C20),C20/4,"-")</f>
        <v>1</v>
      </c>
      <c r="D19" s="10">
        <f t="shared" ref="D19:N19" si="2">IF(ISNUMBER(D20),D20/4,"-")</f>
        <v>1</v>
      </c>
      <c r="E19" s="10">
        <f t="shared" si="2"/>
        <v>1</v>
      </c>
      <c r="F19" s="10">
        <f t="shared" si="2"/>
        <v>1</v>
      </c>
      <c r="G19" s="10">
        <f t="shared" si="2"/>
        <v>1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>
        <f>IF((O20),O20/48,"-")</f>
        <v>0.41666666666666669</v>
      </c>
      <c r="V19" s="7"/>
      <c r="W19" s="8"/>
      <c r="X19" s="8"/>
    </row>
    <row r="20" spans="1:24" ht="21.75" customHeight="1" x14ac:dyDescent="0.25">
      <c r="A20" s="273" t="s">
        <v>37</v>
      </c>
      <c r="B20" s="31" t="s">
        <v>268</v>
      </c>
      <c r="C20" s="3">
        <v>4</v>
      </c>
      <c r="D20" s="3">
        <v>4</v>
      </c>
      <c r="E20" s="3">
        <v>4</v>
      </c>
      <c r="F20" s="3">
        <v>4</v>
      </c>
      <c r="G20" s="3">
        <v>4</v>
      </c>
      <c r="H20" s="3"/>
      <c r="I20" s="3"/>
      <c r="J20" s="3"/>
      <c r="K20" s="3"/>
      <c r="L20" s="3"/>
      <c r="M20" s="3"/>
      <c r="N20" s="3"/>
      <c r="O20" s="16">
        <f>SUM(C20:N20)</f>
        <v>20</v>
      </c>
      <c r="V20" s="7"/>
      <c r="W20" s="8"/>
      <c r="X20" s="8"/>
    </row>
    <row r="21" spans="1:24" ht="18" customHeight="1" x14ac:dyDescent="0.25">
      <c r="A21" s="273"/>
      <c r="B21" s="3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3.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Nataga'!$G19</f>
        <v>Entre 91% y 100%</v>
      </c>
      <c r="E24" s="265"/>
      <c r="F24" s="265"/>
      <c r="G24" s="266"/>
      <c r="H24" s="264" t="str">
        <f>'SET SP Nataga'!$H19</f>
        <v>Entre 71% y 90%</v>
      </c>
      <c r="I24" s="265"/>
      <c r="J24" s="265"/>
      <c r="K24" s="266"/>
      <c r="L24" s="264" t="str">
        <f>'SET SP Nataga'!$I19</f>
        <v>Menor al 70%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 t="s">
        <v>3</v>
      </c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5.2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0.98</v>
      </c>
    </row>
    <row r="61" spans="17:17" x14ac:dyDescent="0.25">
      <c r="Q61" s="9">
        <v>1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</mergeCells>
  <dataValidations disablePrompts="1" count="1">
    <dataValidation type="list" allowBlank="1" showInputMessage="1" showErrorMessage="1" sqref="J11:O11" xr:uid="{00000000-0002-0000-0C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X61"/>
  <sheetViews>
    <sheetView topLeftCell="A12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28515625" style="2" customWidth="1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3.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6.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Nataga'!$B20</f>
        <v>PQR en la prestación del servicio.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Nataga'!F20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Nataga'!A20</f>
        <v>IN13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8" customHeight="1" thickBot="1" x14ac:dyDescent="0.3">
      <c r="A11" s="236" t="str">
        <f>'SET SP Nataga'!$C20</f>
        <v>Medir el grado de satisfación de los suscriptores en la prestación del servicio.</v>
      </c>
      <c r="B11" s="237"/>
      <c r="C11" s="237"/>
      <c r="D11" s="237"/>
      <c r="E11" s="14" t="s">
        <v>35</v>
      </c>
      <c r="F11" s="303" t="str">
        <f>'SET SP Nataga'!$D20</f>
        <v>Número de PQR recibidas / número de suscriptores del servicio*100</v>
      </c>
      <c r="G11" s="306"/>
      <c r="H11" s="12" t="str">
        <f>$O18</f>
        <v>&lt; 1%</v>
      </c>
      <c r="I11" s="13" t="str">
        <f>'SET SP Nataga'!$E20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+'12'!A15:O15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 t="str">
        <f t="shared" ref="C17:N17" si="0">$O$17</f>
        <v>&lt; 1%</v>
      </c>
      <c r="D17" s="50" t="str">
        <f t="shared" si="0"/>
        <v>&lt; 1%</v>
      </c>
      <c r="E17" s="50" t="str">
        <f t="shared" si="0"/>
        <v>&lt; 1%</v>
      </c>
      <c r="F17" s="50" t="str">
        <f t="shared" si="0"/>
        <v>&lt; 1%</v>
      </c>
      <c r="G17" s="50" t="str">
        <f t="shared" si="0"/>
        <v>&lt; 1%</v>
      </c>
      <c r="H17" s="50" t="str">
        <f t="shared" si="0"/>
        <v>&lt; 1%</v>
      </c>
      <c r="I17" s="50" t="str">
        <f t="shared" si="0"/>
        <v>&lt; 1%</v>
      </c>
      <c r="J17" s="50" t="str">
        <f t="shared" si="0"/>
        <v>&lt; 1%</v>
      </c>
      <c r="K17" s="50" t="str">
        <f t="shared" si="0"/>
        <v>&lt; 1%</v>
      </c>
      <c r="L17" s="50" t="str">
        <f t="shared" si="0"/>
        <v>&lt; 1%</v>
      </c>
      <c r="M17" s="50" t="str">
        <f t="shared" si="0"/>
        <v>&lt; 1%</v>
      </c>
      <c r="N17" s="50" t="str">
        <f t="shared" si="0"/>
        <v>&lt; 1%</v>
      </c>
      <c r="O17" s="104" t="str">
        <f>'SET SP Nataga'!J20</f>
        <v>&lt; 1%</v>
      </c>
      <c r="V17" s="7"/>
      <c r="W17" s="8"/>
      <c r="X17" s="8"/>
    </row>
    <row r="18" spans="1:24" ht="17.25" customHeight="1" x14ac:dyDescent="0.25">
      <c r="A18" s="267" t="str">
        <f>+'12'!A18:B18</f>
        <v>META  AÑO 2025</v>
      </c>
      <c r="B18" s="268"/>
      <c r="C18" s="50" t="str">
        <f t="shared" ref="C18:N18" si="1">$O$18</f>
        <v>&lt; 1%</v>
      </c>
      <c r="D18" s="50" t="str">
        <f t="shared" si="1"/>
        <v>&lt; 1%</v>
      </c>
      <c r="E18" s="50" t="str">
        <f t="shared" si="1"/>
        <v>&lt; 1%</v>
      </c>
      <c r="F18" s="50" t="str">
        <f t="shared" si="1"/>
        <v>&lt; 1%</v>
      </c>
      <c r="G18" s="50" t="str">
        <f t="shared" si="1"/>
        <v>&lt; 1%</v>
      </c>
      <c r="H18" s="50" t="str">
        <f t="shared" si="1"/>
        <v>&lt; 1%</v>
      </c>
      <c r="I18" s="50" t="str">
        <f t="shared" si="1"/>
        <v>&lt; 1%</v>
      </c>
      <c r="J18" s="50" t="str">
        <f t="shared" si="1"/>
        <v>&lt; 1%</v>
      </c>
      <c r="K18" s="50" t="str">
        <f t="shared" si="1"/>
        <v>&lt; 1%</v>
      </c>
      <c r="L18" s="50" t="str">
        <f t="shared" si="1"/>
        <v>&lt; 1%</v>
      </c>
      <c r="M18" s="50" t="str">
        <f t="shared" si="1"/>
        <v>&lt; 1%</v>
      </c>
      <c r="N18" s="50" t="str">
        <f t="shared" si="1"/>
        <v>&lt; 1%</v>
      </c>
      <c r="O18" s="104" t="str">
        <f>'SET SP Nataga'!K20</f>
        <v>&lt; 1%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IF((C21),C20/C21,"-")</f>
        <v>0</v>
      </c>
      <c r="D19" s="10">
        <f>IF((D21),D20/D21,"-")</f>
        <v>3.1185031185031187E-3</v>
      </c>
      <c r="E19" s="10">
        <f>IF((E21),E20/E21,"-")</f>
        <v>0</v>
      </c>
      <c r="F19" s="10">
        <f>IF((F21),F20/F21,"-")</f>
        <v>0</v>
      </c>
      <c r="G19" s="10" t="str">
        <f t="shared" ref="G19:O19" si="2">IF((G21),G20/G21,"-")</f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</v>
      </c>
      <c r="O19" s="11">
        <f t="shared" si="2"/>
        <v>6.1703002879473468E-4</v>
      </c>
      <c r="V19" s="7"/>
      <c r="W19" s="8"/>
      <c r="X19" s="8"/>
    </row>
    <row r="20" spans="1:24" ht="15" customHeight="1" x14ac:dyDescent="0.25">
      <c r="A20" s="273" t="s">
        <v>37</v>
      </c>
      <c r="B20" s="31" t="s">
        <v>163</v>
      </c>
      <c r="C20" s="20">
        <f>+NATAGA2020!D40</f>
        <v>0</v>
      </c>
      <c r="D20" s="20">
        <f>+NATAGA2020!E40</f>
        <v>3</v>
      </c>
      <c r="E20" s="20">
        <f>+NATAGA2020!F40</f>
        <v>0</v>
      </c>
      <c r="F20" s="20">
        <f>+NATAGA2020!G40</f>
        <v>0</v>
      </c>
      <c r="G20" s="20">
        <f>+NATAGA2020!H40</f>
        <v>0</v>
      </c>
      <c r="H20" s="20">
        <f>+NATAGA2020!I40</f>
        <v>0</v>
      </c>
      <c r="I20" s="20">
        <f>+NATAGA2020!J40</f>
        <v>0</v>
      </c>
      <c r="J20" s="20">
        <f>+NATAGA2020!K40</f>
        <v>0</v>
      </c>
      <c r="K20" s="20">
        <f>+NATAGA2020!L40</f>
        <v>0</v>
      </c>
      <c r="L20" s="20">
        <f>+NATAGA2020!M40</f>
        <v>0</v>
      </c>
      <c r="M20" s="20">
        <f>+NATAGA2020!N40</f>
        <v>0</v>
      </c>
      <c r="N20" s="20">
        <f>+NATAGA2020!O40</f>
        <v>0</v>
      </c>
      <c r="O20" s="21">
        <f>SUM(C20:N20)</f>
        <v>3</v>
      </c>
      <c r="V20" s="7"/>
      <c r="W20" s="8"/>
      <c r="X20" s="8"/>
    </row>
    <row r="21" spans="1:24" ht="12.75" customHeight="1" x14ac:dyDescent="0.25">
      <c r="A21" s="273"/>
      <c r="B21" s="31" t="s">
        <v>164</v>
      </c>
      <c r="C21" s="20">
        <f>+'05'!C20</f>
        <v>964</v>
      </c>
      <c r="D21" s="20">
        <f>+'05'!D20</f>
        <v>962</v>
      </c>
      <c r="E21" s="20">
        <f>+'05'!E20</f>
        <v>963</v>
      </c>
      <c r="F21" s="20">
        <f>+'05'!F20</f>
        <v>970</v>
      </c>
      <c r="G21" s="20">
        <f>+'05'!G20</f>
        <v>0</v>
      </c>
      <c r="H21" s="20">
        <f>+'05'!H20</f>
        <v>0</v>
      </c>
      <c r="I21" s="20">
        <f>+'05'!I20</f>
        <v>0</v>
      </c>
      <c r="J21" s="20">
        <f>+'05'!J20</f>
        <v>0</v>
      </c>
      <c r="K21" s="20">
        <f>+'05'!K20</f>
        <v>0</v>
      </c>
      <c r="L21" s="20">
        <f>+'05'!L20</f>
        <v>0</v>
      </c>
      <c r="M21" s="20">
        <f>+'05'!M20</f>
        <v>0</v>
      </c>
      <c r="N21" s="20">
        <f>+'05'!N20</f>
        <v>1003</v>
      </c>
      <c r="O21" s="21">
        <f>SUM(C21:N21)</f>
        <v>4862</v>
      </c>
      <c r="V21" s="7"/>
      <c r="W21" s="8"/>
      <c r="X21" s="8"/>
    </row>
    <row r="22" spans="1:24" ht="12.7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Nataga'!$G20</f>
        <v>Entre 0 y 10%</v>
      </c>
      <c r="E24" s="265"/>
      <c r="F24" s="265"/>
      <c r="G24" s="266"/>
      <c r="H24" s="264" t="str">
        <f>'SET SP Nataga'!$H20</f>
        <v>Entre 11% y el 20%</v>
      </c>
      <c r="I24" s="265"/>
      <c r="J24" s="265"/>
      <c r="K24" s="266"/>
      <c r="L24" s="264" t="str">
        <f>'SET SP Nataga'!$I20</f>
        <v>Mayor al 21%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 t="s">
        <v>3</v>
      </c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5.2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53" t="s">
        <v>171</v>
      </c>
    </row>
    <row r="61" spans="17:17" x14ac:dyDescent="0.25">
      <c r="Q61" s="53" t="s">
        <v>167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</mergeCells>
  <dataValidations count="1">
    <dataValidation type="list" allowBlank="1" showInputMessage="1" showErrorMessage="1" sqref="J11:O11" xr:uid="{00000000-0002-0000-0D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X61"/>
  <sheetViews>
    <sheetView topLeftCell="A11" zoomScaleSheetLayoutView="72" workbookViewId="0">
      <selection activeCell="A16" sqref="A16:B16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8.42578125" style="2" customWidth="1"/>
    <col min="4" max="11" width="7.7109375" style="2" customWidth="1"/>
    <col min="12" max="12" width="8.28515625" style="2" customWidth="1"/>
    <col min="13" max="15" width="7.7109375" style="2" customWidth="1"/>
    <col min="16" max="16" width="6.85546875" style="2" customWidth="1"/>
    <col min="17" max="18" width="6.85546875" style="2" hidden="1" customWidth="1"/>
    <col min="19" max="20" width="6.8554687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4.2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Nataga'!$B21</f>
        <v>Disposición en Relleno Sanitario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Nataga'!F21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Nataga'!A21</f>
        <v>IN14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57" customHeight="1" thickBot="1" x14ac:dyDescent="0.3">
      <c r="A11" s="236" t="str">
        <f>'SET SP Nataga'!$C21</f>
        <v>Disponer la totalidad de los residuos solidos recolectados en el sitio de disposición final.</v>
      </c>
      <c r="B11" s="237"/>
      <c r="C11" s="237"/>
      <c r="D11" s="237"/>
      <c r="E11" s="14" t="s">
        <v>35</v>
      </c>
      <c r="F11" s="303" t="str">
        <f>'SET SP Nataga'!$D21</f>
        <v>(Residuos sólidos en relleno sanitario / Residuos sólidos producidos)     x 100    %</v>
      </c>
      <c r="G11" s="305"/>
      <c r="H11" s="12">
        <f>$O18</f>
        <v>1</v>
      </c>
      <c r="I11" s="13" t="str">
        <f>'SET SP Nataga'!$E21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">
        <v>275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>
        <f t="shared" ref="C17:N17" si="0">$O$17</f>
        <v>0.95</v>
      </c>
      <c r="D17" s="50">
        <f t="shared" si="0"/>
        <v>0.95</v>
      </c>
      <c r="E17" s="50">
        <f t="shared" si="0"/>
        <v>0.95</v>
      </c>
      <c r="F17" s="50">
        <f t="shared" si="0"/>
        <v>0.95</v>
      </c>
      <c r="G17" s="50">
        <f t="shared" si="0"/>
        <v>0.95</v>
      </c>
      <c r="H17" s="50">
        <f t="shared" si="0"/>
        <v>0.95</v>
      </c>
      <c r="I17" s="50">
        <f t="shared" si="0"/>
        <v>0.95</v>
      </c>
      <c r="J17" s="50">
        <f t="shared" si="0"/>
        <v>0.95</v>
      </c>
      <c r="K17" s="50">
        <f t="shared" si="0"/>
        <v>0.95</v>
      </c>
      <c r="L17" s="50">
        <f t="shared" si="0"/>
        <v>0.95</v>
      </c>
      <c r="M17" s="50">
        <f t="shared" si="0"/>
        <v>0.95</v>
      </c>
      <c r="N17" s="50">
        <f t="shared" si="0"/>
        <v>0.95</v>
      </c>
      <c r="O17" s="104">
        <f>'SET SP Nataga'!J21</f>
        <v>0.95</v>
      </c>
      <c r="V17" s="7"/>
      <c r="W17" s="8"/>
      <c r="X17" s="8"/>
    </row>
    <row r="18" spans="1:24" ht="17.25" customHeight="1" x14ac:dyDescent="0.25">
      <c r="A18" s="267" t="str">
        <f>+'13'!A18:B18</f>
        <v>META  AÑO 2025</v>
      </c>
      <c r="B18" s="268"/>
      <c r="C18" s="50">
        <f t="shared" ref="C18:N18" si="1">$O$18</f>
        <v>1</v>
      </c>
      <c r="D18" s="50">
        <f t="shared" si="1"/>
        <v>1</v>
      </c>
      <c r="E18" s="50">
        <f t="shared" si="1"/>
        <v>1</v>
      </c>
      <c r="F18" s="50">
        <f t="shared" si="1"/>
        <v>1</v>
      </c>
      <c r="G18" s="50">
        <f t="shared" si="1"/>
        <v>1</v>
      </c>
      <c r="H18" s="50">
        <f t="shared" si="1"/>
        <v>1</v>
      </c>
      <c r="I18" s="50">
        <f t="shared" si="1"/>
        <v>1</v>
      </c>
      <c r="J18" s="50">
        <f t="shared" si="1"/>
        <v>1</v>
      </c>
      <c r="K18" s="50">
        <f t="shared" si="1"/>
        <v>1</v>
      </c>
      <c r="L18" s="50">
        <f t="shared" si="1"/>
        <v>1</v>
      </c>
      <c r="M18" s="50">
        <f t="shared" si="1"/>
        <v>1</v>
      </c>
      <c r="N18" s="50">
        <f t="shared" si="1"/>
        <v>1</v>
      </c>
      <c r="O18" s="104">
        <f>'SET SP Nataga'!K21</f>
        <v>1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60" t="str">
        <f>IF(ISNUMBER(C21),C20/C21,"-")</f>
        <v>-</v>
      </c>
      <c r="D19" s="60" t="str">
        <f t="shared" ref="D19:O19" si="2">IF(ISNUMBER(D21),D20/D21,"-")</f>
        <v>-</v>
      </c>
      <c r="E19" s="60" t="str">
        <f t="shared" si="2"/>
        <v>-</v>
      </c>
      <c r="F19" s="60" t="str">
        <f t="shared" si="2"/>
        <v>-</v>
      </c>
      <c r="G19" s="60" t="str">
        <f t="shared" si="2"/>
        <v>-</v>
      </c>
      <c r="H19" s="60" t="str">
        <f t="shared" si="2"/>
        <v>-</v>
      </c>
      <c r="I19" s="60" t="str">
        <f t="shared" si="2"/>
        <v>-</v>
      </c>
      <c r="J19" s="60" t="str">
        <f t="shared" si="2"/>
        <v>-</v>
      </c>
      <c r="K19" s="60" t="str">
        <f t="shared" si="2"/>
        <v>-</v>
      </c>
      <c r="L19" s="60" t="str">
        <f t="shared" si="2"/>
        <v>-</v>
      </c>
      <c r="M19" s="60" t="str">
        <f t="shared" si="2"/>
        <v>-</v>
      </c>
      <c r="N19" s="60">
        <f t="shared" si="2"/>
        <v>0.93127490039840632</v>
      </c>
      <c r="O19" s="61" t="str">
        <f t="shared" si="2"/>
        <v>-</v>
      </c>
      <c r="V19" s="7"/>
      <c r="W19" s="8"/>
      <c r="X19" s="8"/>
    </row>
    <row r="20" spans="1:24" ht="18" customHeight="1" x14ac:dyDescent="0.25">
      <c r="A20" s="273" t="s">
        <v>37</v>
      </c>
      <c r="B20" s="31" t="s">
        <v>142</v>
      </c>
      <c r="C20" s="64">
        <f>+'07'!C20</f>
        <v>24.05</v>
      </c>
      <c r="D20" s="64">
        <f>+'07'!D20</f>
        <v>26.82</v>
      </c>
      <c r="E20" s="64">
        <f>+'07'!E20</f>
        <v>0</v>
      </c>
      <c r="F20" s="64">
        <f>+'07'!F20</f>
        <v>0</v>
      </c>
      <c r="G20" s="64">
        <f>+'07'!G20</f>
        <v>0</v>
      </c>
      <c r="H20" s="64">
        <f>+'07'!H20</f>
        <v>0</v>
      </c>
      <c r="I20" s="64">
        <f>+'07'!I20</f>
        <v>0</v>
      </c>
      <c r="J20" s="64">
        <f>+'07'!J20</f>
        <v>0</v>
      </c>
      <c r="K20" s="64">
        <f>+'07'!K20</f>
        <v>0</v>
      </c>
      <c r="L20" s="64">
        <f>+'07'!L20</f>
        <v>0</v>
      </c>
      <c r="M20" s="64">
        <f>+'07'!M20</f>
        <v>0</v>
      </c>
      <c r="N20" s="64">
        <f>+'07'!N20</f>
        <v>41.83</v>
      </c>
      <c r="O20" s="65">
        <f>SUM(C20:N20)</f>
        <v>92.7</v>
      </c>
      <c r="V20" s="7"/>
      <c r="W20" s="8"/>
      <c r="X20" s="8"/>
    </row>
    <row r="21" spans="1:24" ht="14.25" customHeight="1" x14ac:dyDescent="0.25">
      <c r="A21" s="273"/>
      <c r="B21" s="31" t="s">
        <v>137</v>
      </c>
      <c r="C21" s="64" t="e">
        <f>+'07'!C21</f>
        <v>#VALUE!</v>
      </c>
      <c r="D21" s="64" t="e">
        <f>+'07'!D21</f>
        <v>#VALUE!</v>
      </c>
      <c r="E21" s="64" t="e">
        <f>+'07'!E21</f>
        <v>#VALUE!</v>
      </c>
      <c r="F21" s="64" t="e">
        <f>+'07'!F21</f>
        <v>#VALUE!</v>
      </c>
      <c r="G21" s="64" t="e">
        <f>+'07'!G21</f>
        <v>#VALUE!</v>
      </c>
      <c r="H21" s="64" t="e">
        <f>+'07'!H21</f>
        <v>#VALUE!</v>
      </c>
      <c r="I21" s="64" t="e">
        <f>+'07'!I21</f>
        <v>#VALUE!</v>
      </c>
      <c r="J21" s="64" t="e">
        <f>+'07'!J21</f>
        <v>#VALUE!</v>
      </c>
      <c r="K21" s="64" t="e">
        <f>+'07'!K21</f>
        <v>#VALUE!</v>
      </c>
      <c r="L21" s="64" t="e">
        <f>+'07'!L21</f>
        <v>#VALUE!</v>
      </c>
      <c r="M21" s="64" t="e">
        <f>+'07'!M21</f>
        <v>#VALUE!</v>
      </c>
      <c r="N21" s="64">
        <f>+'07'!N21</f>
        <v>44.916919786096258</v>
      </c>
      <c r="O21" s="65" t="e">
        <f>SUM(C21:N21)</f>
        <v>#VALUE!</v>
      </c>
      <c r="V21" s="7"/>
      <c r="W21" s="8"/>
      <c r="X21" s="8"/>
    </row>
    <row r="22" spans="1:24" ht="12.7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Nataga'!$G21</f>
        <v>Entre 91% y 100%</v>
      </c>
      <c r="E24" s="265"/>
      <c r="F24" s="265"/>
      <c r="G24" s="266"/>
      <c r="H24" s="264" t="str">
        <f>'SET SP Nataga'!$H21</f>
        <v>Entre 71% y 90%</v>
      </c>
      <c r="I24" s="265"/>
      <c r="J24" s="265"/>
      <c r="K24" s="266"/>
      <c r="L24" s="264" t="str">
        <f>'SET SP Nataga'!$I21</f>
        <v>Menor al 70%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 t="s">
        <v>3</v>
      </c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5.2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0.98</v>
      </c>
    </row>
    <row r="61" spans="17:17" x14ac:dyDescent="0.25">
      <c r="Q61" s="9">
        <v>1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</mergeCells>
  <dataValidations count="1">
    <dataValidation type="list" allowBlank="1" showInputMessage="1" showErrorMessage="1" sqref="J11:O11" xr:uid="{00000000-0002-0000-0E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8"/>
  <sheetViews>
    <sheetView showGridLines="0" topLeftCell="A25" zoomScalePageLayoutView="130" workbookViewId="0">
      <selection activeCell="H35" sqref="H35"/>
    </sheetView>
  </sheetViews>
  <sheetFormatPr baseColWidth="10" defaultColWidth="11.42578125" defaultRowHeight="12.75" x14ac:dyDescent="0.2"/>
  <cols>
    <col min="1" max="1" width="3" style="69" customWidth="1"/>
    <col min="2" max="2" width="21.140625" style="160" customWidth="1"/>
    <col min="3" max="3" width="12.7109375" style="69" customWidth="1"/>
    <col min="4" max="6" width="11.28515625" style="58" bestFit="1" customWidth="1"/>
    <col min="7" max="7" width="15.140625" style="58" customWidth="1"/>
    <col min="8" max="8" width="11.28515625" style="58" customWidth="1"/>
    <col min="9" max="9" width="14.28515625" style="58" customWidth="1"/>
    <col min="10" max="10" width="11.28515625" style="58" customWidth="1"/>
    <col min="11" max="11" width="12.5703125" style="58" customWidth="1"/>
    <col min="12" max="14" width="11.28515625" style="58" customWidth="1"/>
    <col min="15" max="15" width="13" style="58" customWidth="1"/>
    <col min="16" max="16" width="18.42578125" style="58" customWidth="1"/>
    <col min="17" max="17" width="15.28515625" style="58" customWidth="1"/>
    <col min="18" max="16384" width="11.42578125" style="58"/>
  </cols>
  <sheetData>
    <row r="1" spans="1:21" x14ac:dyDescent="0.2">
      <c r="A1" s="308" t="s">
        <v>178</v>
      </c>
      <c r="B1" s="308"/>
      <c r="C1" s="308"/>
      <c r="D1" s="308"/>
      <c r="E1" s="308"/>
      <c r="F1" s="308"/>
      <c r="G1" s="308"/>
    </row>
    <row r="2" spans="1:21" ht="20.25" x14ac:dyDescent="0.3">
      <c r="A2" s="309" t="s">
        <v>266</v>
      </c>
      <c r="B2" s="310"/>
      <c r="C2" s="66"/>
      <c r="D2" s="76"/>
      <c r="E2" s="308" t="s">
        <v>248</v>
      </c>
      <c r="F2" s="314"/>
      <c r="G2" s="315" t="s">
        <v>247</v>
      </c>
      <c r="H2" s="315"/>
      <c r="I2" s="315"/>
      <c r="J2" s="315"/>
      <c r="K2" s="315"/>
    </row>
    <row r="3" spans="1:21" x14ac:dyDescent="0.2">
      <c r="N3" s="75">
        <f>+M6-N6</f>
        <v>0</v>
      </c>
      <c r="Q3" s="140"/>
    </row>
    <row r="4" spans="1:21" ht="18.75" customHeight="1" x14ac:dyDescent="0.2">
      <c r="A4" s="311" t="s">
        <v>179</v>
      </c>
      <c r="B4" s="312"/>
      <c r="C4" s="80" t="s">
        <v>180</v>
      </c>
      <c r="D4" s="81">
        <v>46023</v>
      </c>
      <c r="E4" s="81">
        <v>46054</v>
      </c>
      <c r="F4" s="81">
        <v>46082</v>
      </c>
      <c r="G4" s="81">
        <v>46113</v>
      </c>
      <c r="H4" s="81">
        <v>46143</v>
      </c>
      <c r="I4" s="81">
        <v>46174</v>
      </c>
      <c r="J4" s="81">
        <v>46204</v>
      </c>
      <c r="K4" s="81">
        <v>46235</v>
      </c>
      <c r="L4" s="81">
        <v>46266</v>
      </c>
      <c r="M4" s="81">
        <v>46296</v>
      </c>
      <c r="N4" s="81">
        <v>46327</v>
      </c>
      <c r="O4" s="81">
        <v>46357</v>
      </c>
      <c r="Q4" s="140"/>
    </row>
    <row r="5" spans="1:21" x14ac:dyDescent="0.2">
      <c r="A5" s="82">
        <v>1</v>
      </c>
      <c r="B5" s="161" t="s">
        <v>181</v>
      </c>
      <c r="C5" s="83" t="s">
        <v>181</v>
      </c>
      <c r="D5" s="128"/>
      <c r="E5" s="128"/>
      <c r="F5" s="128"/>
      <c r="G5" s="128"/>
      <c r="H5" s="128"/>
      <c r="I5" s="128"/>
      <c r="J5" s="87"/>
      <c r="K5" s="87"/>
      <c r="L5" s="128"/>
      <c r="M5" s="87"/>
      <c r="N5" s="87"/>
      <c r="O5" s="118">
        <v>1004</v>
      </c>
      <c r="P5" s="75"/>
      <c r="Q5" s="140"/>
    </row>
    <row r="6" spans="1:21" x14ac:dyDescent="0.2">
      <c r="A6" s="84">
        <v>2</v>
      </c>
      <c r="B6" s="162" t="s">
        <v>182</v>
      </c>
      <c r="C6" s="85" t="s">
        <v>183</v>
      </c>
      <c r="D6" s="127">
        <v>964</v>
      </c>
      <c r="E6" s="127">
        <v>962</v>
      </c>
      <c r="F6" s="127">
        <v>963</v>
      </c>
      <c r="G6" s="127">
        <v>970</v>
      </c>
      <c r="H6" s="86"/>
      <c r="I6" s="86"/>
      <c r="J6" s="86"/>
      <c r="K6" s="86"/>
      <c r="L6" s="127"/>
      <c r="M6" s="127"/>
      <c r="N6" s="86"/>
      <c r="O6" s="119">
        <v>1003</v>
      </c>
      <c r="P6" s="75"/>
      <c r="Q6" s="148"/>
    </row>
    <row r="7" spans="1:21" ht="22.5" x14ac:dyDescent="0.2">
      <c r="A7" s="82">
        <v>3</v>
      </c>
      <c r="B7" s="161" t="s">
        <v>184</v>
      </c>
      <c r="C7" s="83" t="s">
        <v>183</v>
      </c>
      <c r="D7" s="128">
        <v>936</v>
      </c>
      <c r="E7" s="128">
        <v>934</v>
      </c>
      <c r="F7" s="136">
        <v>935</v>
      </c>
      <c r="G7" s="136">
        <v>942</v>
      </c>
      <c r="H7" s="87"/>
      <c r="I7" s="87"/>
      <c r="J7" s="87"/>
      <c r="K7" s="87"/>
      <c r="L7" s="128"/>
      <c r="M7" s="128"/>
      <c r="N7" s="87"/>
      <c r="O7" s="118">
        <v>973</v>
      </c>
      <c r="P7" s="75"/>
    </row>
    <row r="8" spans="1:21" x14ac:dyDescent="0.2">
      <c r="A8" s="84">
        <v>4</v>
      </c>
      <c r="B8" s="162" t="s">
        <v>185</v>
      </c>
      <c r="C8" s="85" t="s">
        <v>183</v>
      </c>
      <c r="D8" s="127">
        <v>935</v>
      </c>
      <c r="E8" s="127">
        <v>933</v>
      </c>
      <c r="F8" s="127">
        <v>934</v>
      </c>
      <c r="G8" s="127">
        <v>941</v>
      </c>
      <c r="H8" s="86"/>
      <c r="I8" s="86"/>
      <c r="J8" s="86"/>
      <c r="K8" s="86"/>
      <c r="L8" s="127"/>
      <c r="M8" s="127"/>
      <c r="N8" s="86"/>
      <c r="O8" s="119">
        <v>935</v>
      </c>
      <c r="P8" s="75"/>
    </row>
    <row r="9" spans="1:21" s="154" customFormat="1" ht="15" x14ac:dyDescent="0.25">
      <c r="A9" s="150">
        <v>5</v>
      </c>
      <c r="B9" s="163" t="s">
        <v>186</v>
      </c>
      <c r="C9" s="151" t="s">
        <v>187</v>
      </c>
      <c r="D9" s="157">
        <v>16728</v>
      </c>
      <c r="E9" s="157">
        <v>13756</v>
      </c>
      <c r="F9" s="157">
        <v>18145</v>
      </c>
      <c r="G9" s="157"/>
      <c r="H9" s="157"/>
      <c r="I9" s="157"/>
      <c r="J9" s="126"/>
      <c r="K9" s="159"/>
      <c r="L9" s="159"/>
      <c r="M9" s="159"/>
      <c r="N9" s="152"/>
      <c r="O9" s="152">
        <v>14818</v>
      </c>
      <c r="P9" s="153">
        <f>SUM(D9:O9)</f>
        <v>63447</v>
      </c>
      <c r="Q9" s="141"/>
      <c r="R9" s="141"/>
      <c r="S9" s="141"/>
      <c r="T9" s="141"/>
      <c r="U9" s="142"/>
    </row>
    <row r="10" spans="1:21" x14ac:dyDescent="0.2">
      <c r="A10" s="84">
        <v>6</v>
      </c>
      <c r="B10" s="162" t="s">
        <v>188</v>
      </c>
      <c r="C10" s="85" t="s">
        <v>187</v>
      </c>
      <c r="D10" s="127">
        <f>8393+91</f>
        <v>8484</v>
      </c>
      <c r="E10" s="127">
        <f>12084+104</f>
        <v>12188</v>
      </c>
      <c r="F10" s="127">
        <f>8907+167</f>
        <v>9074</v>
      </c>
      <c r="G10" s="127">
        <f>10594+156</f>
        <v>10750</v>
      </c>
      <c r="H10" s="127"/>
      <c r="I10" s="86"/>
      <c r="J10" s="86"/>
      <c r="K10" s="86"/>
      <c r="L10" s="86"/>
      <c r="M10" s="86"/>
      <c r="N10" s="86"/>
      <c r="O10" s="119">
        <f>8370+114</f>
        <v>8484</v>
      </c>
      <c r="P10" s="153">
        <f>SUM(D10:O10)</f>
        <v>48980</v>
      </c>
      <c r="Q10" s="143"/>
      <c r="R10" s="143"/>
      <c r="S10" s="143"/>
      <c r="T10" s="143"/>
      <c r="U10" s="144"/>
    </row>
    <row r="11" spans="1:21" ht="22.5" x14ac:dyDescent="0.2">
      <c r="A11" s="82">
        <v>7</v>
      </c>
      <c r="B11" s="161" t="s">
        <v>261</v>
      </c>
      <c r="C11" s="83" t="s">
        <v>189</v>
      </c>
      <c r="D11" s="135">
        <f>6574+1167+503</f>
        <v>8244</v>
      </c>
      <c r="E11" s="135">
        <f>7893+2654+1237</f>
        <v>11784</v>
      </c>
      <c r="F11" s="135">
        <f>6851+1347+645</f>
        <v>8843</v>
      </c>
      <c r="G11" s="137">
        <f>7184+7616+1754</f>
        <v>16554</v>
      </c>
      <c r="H11" s="137"/>
      <c r="I11" s="109"/>
      <c r="J11" s="109"/>
      <c r="K11" s="109"/>
      <c r="L11" s="149"/>
      <c r="M11" s="109"/>
      <c r="N11" s="152"/>
      <c r="O11" s="109">
        <f>6574+1167+503</f>
        <v>8244</v>
      </c>
      <c r="P11" s="153">
        <f t="shared" ref="P11:P13" si="0">SUM(D11:O11)</f>
        <v>53669</v>
      </c>
      <c r="Q11" s="145"/>
      <c r="R11" s="145"/>
      <c r="S11" s="146"/>
      <c r="T11" s="146"/>
      <c r="U11" s="147"/>
    </row>
    <row r="12" spans="1:21" hidden="1" x14ac:dyDescent="0.2">
      <c r="A12" s="84">
        <v>8</v>
      </c>
      <c r="B12" s="162" t="s">
        <v>190</v>
      </c>
      <c r="C12" s="85" t="s">
        <v>189</v>
      </c>
      <c r="D12" s="138"/>
      <c r="E12" s="135"/>
      <c r="F12" s="137"/>
      <c r="G12" s="137"/>
      <c r="H12" s="109"/>
      <c r="I12" s="109"/>
      <c r="J12" s="109"/>
      <c r="K12" s="109"/>
      <c r="L12" s="138"/>
      <c r="M12" s="109"/>
      <c r="N12" s="109"/>
      <c r="O12" s="109"/>
      <c r="P12" s="153">
        <f t="shared" si="0"/>
        <v>0</v>
      </c>
    </row>
    <row r="13" spans="1:21" ht="10.5" hidden="1" customHeight="1" x14ac:dyDescent="0.2">
      <c r="A13" s="82">
        <v>9</v>
      </c>
      <c r="B13" s="161" t="s">
        <v>191</v>
      </c>
      <c r="C13" s="83" t="s">
        <v>189</v>
      </c>
      <c r="D13" s="135"/>
      <c r="E13" s="135"/>
      <c r="F13" s="137"/>
      <c r="G13" s="137"/>
      <c r="H13" s="109"/>
      <c r="I13" s="109"/>
      <c r="J13" s="109"/>
      <c r="K13" s="109"/>
      <c r="L13" s="135"/>
      <c r="M13" s="109"/>
      <c r="N13" s="109"/>
      <c r="O13" s="109"/>
      <c r="P13" s="153">
        <f t="shared" si="0"/>
        <v>0</v>
      </c>
    </row>
    <row r="14" spans="1:21" ht="31.5" customHeight="1" x14ac:dyDescent="0.25">
      <c r="A14" s="84">
        <v>10</v>
      </c>
      <c r="B14" s="162" t="s">
        <v>192</v>
      </c>
      <c r="C14" s="85" t="s">
        <v>189</v>
      </c>
      <c r="D14" s="127">
        <f>6649230+7672077+105997+407000+327-1049</f>
        <v>14833582</v>
      </c>
      <c r="E14" s="127">
        <f>6634192+11730443+112781+185000+327-1166</f>
        <v>18661577</v>
      </c>
      <c r="F14" s="127">
        <f>6683600+10248199+72325+368181+327-935</f>
        <v>17371697</v>
      </c>
      <c r="G14" s="127"/>
      <c r="H14" s="127"/>
      <c r="I14" s="86"/>
      <c r="J14" s="86"/>
      <c r="K14" s="86"/>
      <c r="L14" s="127"/>
      <c r="M14" s="86"/>
      <c r="N14" s="86"/>
      <c r="O14" s="119">
        <f>6649230+7754227+106606+407000+327-1087</f>
        <v>14916303</v>
      </c>
      <c r="P14" s="75">
        <f>SUM(D14:O14)</f>
        <v>65783159</v>
      </c>
      <c r="Q14" s="123"/>
    </row>
    <row r="15" spans="1:21" ht="24" customHeight="1" x14ac:dyDescent="0.2">
      <c r="A15" s="82">
        <v>11</v>
      </c>
      <c r="B15" s="161" t="s">
        <v>193</v>
      </c>
      <c r="C15" s="83" t="s">
        <v>189</v>
      </c>
      <c r="D15" s="128">
        <f>5530008+6285051+88959+370000+327-790</f>
        <v>12273555</v>
      </c>
      <c r="E15" s="128">
        <f>2750+5788454+10523144+107264+148000-810</f>
        <v>16568802</v>
      </c>
      <c r="F15" s="136"/>
      <c r="G15" s="136"/>
      <c r="H15" s="87"/>
      <c r="I15" s="87"/>
      <c r="J15" s="87"/>
      <c r="K15" s="87"/>
      <c r="L15" s="128"/>
      <c r="M15" s="87"/>
      <c r="N15" s="125"/>
      <c r="O15" s="125">
        <f>5520341+6260191+88959+370000+327-779</f>
        <v>12239039</v>
      </c>
      <c r="P15" s="75">
        <f t="shared" ref="P15:P19" si="1">SUM(D15:O15)</f>
        <v>41081396</v>
      </c>
    </row>
    <row r="16" spans="1:21" ht="22.5" x14ac:dyDescent="0.25">
      <c r="A16" s="84">
        <v>12</v>
      </c>
      <c r="B16" s="162" t="s">
        <v>194</v>
      </c>
      <c r="C16" s="85" t="s">
        <v>189</v>
      </c>
      <c r="D16" s="127">
        <f>3298002+3443145+269500</f>
        <v>7010647</v>
      </c>
      <c r="E16" s="127">
        <f>3290320+5222360+122500</f>
        <v>8635180</v>
      </c>
      <c r="F16" s="127">
        <f>3315560+4652253+243797</f>
        <v>8211610</v>
      </c>
      <c r="G16" s="127"/>
      <c r="H16" s="127"/>
      <c r="I16" s="86"/>
      <c r="J16" s="86"/>
      <c r="K16" s="86"/>
      <c r="L16" s="127"/>
      <c r="M16" s="86"/>
      <c r="N16" s="86"/>
      <c r="O16" s="119">
        <f>3298002+3481024+269500</f>
        <v>7048526</v>
      </c>
      <c r="P16" s="75">
        <f t="shared" si="1"/>
        <v>30905963</v>
      </c>
      <c r="Q16" s="123"/>
    </row>
    <row r="17" spans="1:18" ht="22.5" x14ac:dyDescent="0.2">
      <c r="A17" s="82">
        <v>13</v>
      </c>
      <c r="B17" s="161" t="s">
        <v>195</v>
      </c>
      <c r="C17" s="83" t="s">
        <v>189</v>
      </c>
      <c r="D17" s="128">
        <f>2742709+2824443+245000</f>
        <v>5812152</v>
      </c>
      <c r="E17" s="128">
        <f>2870281+4679282+98000</f>
        <v>7647563</v>
      </c>
      <c r="F17" s="136"/>
      <c r="G17" s="136"/>
      <c r="H17" s="87"/>
      <c r="I17" s="87"/>
      <c r="J17" s="87"/>
      <c r="K17" s="87"/>
      <c r="L17" s="128"/>
      <c r="M17" s="87"/>
      <c r="N17" s="125"/>
      <c r="O17" s="125">
        <f>2737770+2812980+245000</f>
        <v>5795750</v>
      </c>
      <c r="P17" s="75">
        <f t="shared" si="1"/>
        <v>19255465</v>
      </c>
    </row>
    <row r="18" spans="1:18" ht="22.5" x14ac:dyDescent="0.25">
      <c r="A18" s="84">
        <v>14</v>
      </c>
      <c r="B18" s="162" t="s">
        <v>196</v>
      </c>
      <c r="C18" s="85" t="s">
        <v>189</v>
      </c>
      <c r="D18" s="127">
        <v>5778199</v>
      </c>
      <c r="E18" s="127">
        <v>5764771</v>
      </c>
      <c r="F18" s="127">
        <v>5804448</v>
      </c>
      <c r="G18" s="127"/>
      <c r="H18" s="127"/>
      <c r="I18" s="86"/>
      <c r="J18" s="86"/>
      <c r="K18" s="86"/>
      <c r="L18" s="127"/>
      <c r="M18" s="86"/>
      <c r="N18" s="86"/>
      <c r="O18" s="119">
        <v>5778199</v>
      </c>
      <c r="P18" s="75">
        <f t="shared" si="1"/>
        <v>23125617</v>
      </c>
      <c r="Q18" s="124"/>
    </row>
    <row r="19" spans="1:18" s="117" customFormat="1" ht="22.5" x14ac:dyDescent="0.2">
      <c r="A19" s="82">
        <v>15</v>
      </c>
      <c r="B19" s="161" t="s">
        <v>197</v>
      </c>
      <c r="C19" s="83" t="s">
        <v>189</v>
      </c>
      <c r="D19" s="128">
        <v>4792693</v>
      </c>
      <c r="E19" s="128">
        <v>5042717</v>
      </c>
      <c r="F19" s="136"/>
      <c r="G19" s="136"/>
      <c r="H19" s="87"/>
      <c r="I19" s="87"/>
      <c r="J19" s="87"/>
      <c r="K19" s="87"/>
      <c r="L19" s="128"/>
      <c r="M19" s="87"/>
      <c r="N19" s="125"/>
      <c r="O19" s="125">
        <v>4784061</v>
      </c>
      <c r="P19" s="75">
        <f t="shared" si="1"/>
        <v>14619471</v>
      </c>
      <c r="Q19" s="122"/>
    </row>
    <row r="20" spans="1:18" ht="22.5" x14ac:dyDescent="0.2">
      <c r="A20" s="84">
        <v>16</v>
      </c>
      <c r="B20" s="162" t="s">
        <v>198</v>
      </c>
      <c r="C20" s="85" t="s">
        <v>189</v>
      </c>
      <c r="D20" s="127">
        <f>1265873+1472255+45636+18200+34164-227010+327-73</f>
        <v>2609372</v>
      </c>
      <c r="E20" s="127">
        <f>1313708+1639205+52226+37000+18200+34164+24500-297550+32</f>
        <v>2821485</v>
      </c>
      <c r="F20" s="127">
        <f>893191+928375+47739+40909+18200+34164+27088-1201046-31</f>
        <v>788589</v>
      </c>
      <c r="G20" s="127"/>
      <c r="H20" s="127"/>
      <c r="I20" s="86"/>
      <c r="J20" s="86"/>
      <c r="K20" s="86"/>
      <c r="L20" s="127"/>
      <c r="M20" s="86"/>
      <c r="N20" s="86"/>
      <c r="O20" s="120">
        <f>1272889+1478502+45925+18200+34164-227010+327-68</f>
        <v>2622929</v>
      </c>
      <c r="Q20" s="121"/>
    </row>
    <row r="21" spans="1:18" s="117" customFormat="1" ht="22.5" x14ac:dyDescent="0.2">
      <c r="A21" s="82">
        <v>17</v>
      </c>
      <c r="B21" s="161" t="s">
        <v>199</v>
      </c>
      <c r="C21" s="83" t="s">
        <v>189</v>
      </c>
      <c r="D21" s="128">
        <f>1066016+1236986+10448+327-252</f>
        <v>2313525</v>
      </c>
      <c r="E21" s="128">
        <f>1229854+1600605+13950+37000-115450-138</f>
        <v>2765821</v>
      </c>
      <c r="F21" s="136"/>
      <c r="G21" s="136"/>
      <c r="H21" s="87"/>
      <c r="I21" s="87"/>
      <c r="J21" s="87"/>
      <c r="K21" s="87"/>
      <c r="L21" s="128"/>
      <c r="M21" s="87"/>
      <c r="N21" s="87"/>
      <c r="O21" s="87">
        <f>1066016+1236986+10448+327-252</f>
        <v>2313525</v>
      </c>
    </row>
    <row r="22" spans="1:18" ht="22.5" x14ac:dyDescent="0.2">
      <c r="A22" s="84">
        <v>18</v>
      </c>
      <c r="B22" s="162" t="s">
        <v>200</v>
      </c>
      <c r="C22" s="85" t="s">
        <v>189</v>
      </c>
      <c r="D22" s="127">
        <f>639012+673544</f>
        <v>1312556</v>
      </c>
      <c r="E22" s="127">
        <f>652179+732925</f>
        <v>1385104</v>
      </c>
      <c r="F22" s="127">
        <f>450805+428114</f>
        <v>878919</v>
      </c>
      <c r="G22" s="127"/>
      <c r="H22" s="127"/>
      <c r="I22" s="86"/>
      <c r="J22" s="86"/>
      <c r="K22" s="86"/>
      <c r="L22" s="127"/>
      <c r="M22" s="86"/>
      <c r="N22" s="86"/>
      <c r="O22" s="120">
        <f>643950+676425</f>
        <v>1320375</v>
      </c>
    </row>
    <row r="23" spans="1:18" s="117" customFormat="1" ht="22.5" x14ac:dyDescent="0.2">
      <c r="A23" s="82">
        <v>19</v>
      </c>
      <c r="B23" s="161" t="s">
        <v>201</v>
      </c>
      <c r="C23" s="83" t="s">
        <v>189</v>
      </c>
      <c r="D23" s="128">
        <f>539381+567118</f>
        <v>1106499</v>
      </c>
      <c r="E23" s="128">
        <f>609338+715087+24500</f>
        <v>1348925</v>
      </c>
      <c r="F23" s="136"/>
      <c r="G23" s="136"/>
      <c r="H23" s="87"/>
      <c r="I23" s="87"/>
      <c r="J23" s="87"/>
      <c r="K23" s="87"/>
      <c r="L23" s="128"/>
      <c r="M23" s="87"/>
      <c r="N23" s="87"/>
      <c r="O23" s="87">
        <f>539381+567118</f>
        <v>1106499</v>
      </c>
    </row>
    <row r="24" spans="1:18" ht="22.5" x14ac:dyDescent="0.2">
      <c r="A24" s="84">
        <v>20</v>
      </c>
      <c r="B24" s="162" t="s">
        <v>202</v>
      </c>
      <c r="C24" s="85" t="s">
        <v>189</v>
      </c>
      <c r="D24" s="127">
        <v>1094070</v>
      </c>
      <c r="E24" s="127">
        <v>1145037</v>
      </c>
      <c r="F24" s="127">
        <v>773921</v>
      </c>
      <c r="G24" s="127"/>
      <c r="H24" s="127"/>
      <c r="I24" s="86"/>
      <c r="J24" s="86"/>
      <c r="K24" s="86"/>
      <c r="L24" s="127"/>
      <c r="M24" s="86"/>
      <c r="N24" s="86"/>
      <c r="O24" s="120">
        <v>1102694</v>
      </c>
    </row>
    <row r="25" spans="1:18" s="117" customFormat="1" ht="22.5" x14ac:dyDescent="0.2">
      <c r="A25" s="82">
        <v>21</v>
      </c>
      <c r="B25" s="161" t="s">
        <v>203</v>
      </c>
      <c r="C25" s="83" t="s">
        <v>189</v>
      </c>
      <c r="D25" s="128">
        <v>934876</v>
      </c>
      <c r="E25" s="128">
        <v>1073122</v>
      </c>
      <c r="F25" s="136"/>
      <c r="G25" s="136"/>
      <c r="H25" s="87"/>
      <c r="I25" s="87"/>
      <c r="J25" s="87"/>
      <c r="K25" s="87"/>
      <c r="L25" s="128"/>
      <c r="M25" s="87"/>
      <c r="N25" s="87"/>
      <c r="O25" s="87">
        <v>934876</v>
      </c>
    </row>
    <row r="26" spans="1:18" ht="22.5" x14ac:dyDescent="0.2">
      <c r="A26" s="84">
        <v>22</v>
      </c>
      <c r="B26" s="162" t="s">
        <v>204</v>
      </c>
      <c r="C26" s="85" t="s">
        <v>189</v>
      </c>
      <c r="D26" s="112">
        <f t="shared" ref="D26:O26" si="2">+D14+D20</f>
        <v>17442954</v>
      </c>
      <c r="E26" s="112">
        <f t="shared" si="2"/>
        <v>21483062</v>
      </c>
      <c r="F26" s="112">
        <f t="shared" si="2"/>
        <v>18160286</v>
      </c>
      <c r="G26" s="112">
        <f t="shared" si="2"/>
        <v>0</v>
      </c>
      <c r="H26" s="112">
        <f t="shared" si="2"/>
        <v>0</v>
      </c>
      <c r="I26" s="112">
        <f t="shared" si="2"/>
        <v>0</v>
      </c>
      <c r="J26" s="112">
        <f t="shared" si="2"/>
        <v>0</v>
      </c>
      <c r="K26" s="112">
        <f t="shared" si="2"/>
        <v>0</v>
      </c>
      <c r="L26" s="112">
        <f t="shared" si="2"/>
        <v>0</v>
      </c>
      <c r="M26" s="112">
        <f t="shared" si="2"/>
        <v>0</v>
      </c>
      <c r="N26" s="112">
        <f t="shared" si="2"/>
        <v>0</v>
      </c>
      <c r="O26" s="112">
        <f t="shared" si="2"/>
        <v>17539232</v>
      </c>
    </row>
    <row r="27" spans="1:18" ht="22.5" x14ac:dyDescent="0.2">
      <c r="A27" s="82">
        <v>23</v>
      </c>
      <c r="B27" s="161" t="s">
        <v>205</v>
      </c>
      <c r="C27" s="83" t="s">
        <v>189</v>
      </c>
      <c r="D27" s="112">
        <f t="shared" ref="D27:O27" si="3">+D15+D21</f>
        <v>14587080</v>
      </c>
      <c r="E27" s="112">
        <f t="shared" ref="E27:N27" si="4">+E15+E21</f>
        <v>19334623</v>
      </c>
      <c r="F27" s="112">
        <f t="shared" si="4"/>
        <v>0</v>
      </c>
      <c r="G27" s="112">
        <f t="shared" si="4"/>
        <v>0</v>
      </c>
      <c r="H27" s="112">
        <f t="shared" si="4"/>
        <v>0</v>
      </c>
      <c r="I27" s="112">
        <f t="shared" si="4"/>
        <v>0</v>
      </c>
      <c r="J27" s="112">
        <f t="shared" si="4"/>
        <v>0</v>
      </c>
      <c r="K27" s="112">
        <f t="shared" si="4"/>
        <v>0</v>
      </c>
      <c r="L27" s="112">
        <f t="shared" si="4"/>
        <v>0</v>
      </c>
      <c r="M27" s="112">
        <f t="shared" si="4"/>
        <v>0</v>
      </c>
      <c r="N27" s="112">
        <f t="shared" si="4"/>
        <v>0</v>
      </c>
      <c r="O27" s="112">
        <f t="shared" si="3"/>
        <v>14552564</v>
      </c>
    </row>
    <row r="28" spans="1:18" ht="22.5" x14ac:dyDescent="0.2">
      <c r="A28" s="84">
        <v>24</v>
      </c>
      <c r="B28" s="162" t="s">
        <v>206</v>
      </c>
      <c r="C28" s="85" t="s">
        <v>189</v>
      </c>
      <c r="D28" s="112">
        <f t="shared" ref="D28:N28" si="5">+D16+D22</f>
        <v>8323203</v>
      </c>
      <c r="E28" s="112">
        <f t="shared" si="5"/>
        <v>10020284</v>
      </c>
      <c r="F28" s="112">
        <f t="shared" si="5"/>
        <v>9090529</v>
      </c>
      <c r="G28" s="112">
        <f t="shared" si="5"/>
        <v>0</v>
      </c>
      <c r="H28" s="112">
        <f t="shared" si="5"/>
        <v>0</v>
      </c>
      <c r="I28" s="112">
        <f t="shared" si="5"/>
        <v>0</v>
      </c>
      <c r="J28" s="112">
        <f t="shared" si="5"/>
        <v>0</v>
      </c>
      <c r="K28" s="112">
        <f t="shared" si="5"/>
        <v>0</v>
      </c>
      <c r="L28" s="112">
        <f t="shared" si="5"/>
        <v>0</v>
      </c>
      <c r="M28" s="112">
        <f t="shared" si="5"/>
        <v>0</v>
      </c>
      <c r="N28" s="112">
        <f t="shared" si="5"/>
        <v>0</v>
      </c>
      <c r="O28" s="112">
        <f t="shared" ref="O28" si="6">+O16+O22</f>
        <v>8368901</v>
      </c>
      <c r="P28" s="75"/>
      <c r="R28" s="75"/>
    </row>
    <row r="29" spans="1:18" ht="22.5" x14ac:dyDescent="0.2">
      <c r="A29" s="82">
        <v>25</v>
      </c>
      <c r="B29" s="161" t="s">
        <v>207</v>
      </c>
      <c r="C29" s="83" t="s">
        <v>189</v>
      </c>
      <c r="D29" s="112">
        <f t="shared" ref="D29:N29" si="7">+D17+D23</f>
        <v>6918651</v>
      </c>
      <c r="E29" s="112">
        <f t="shared" si="7"/>
        <v>8996488</v>
      </c>
      <c r="F29" s="112">
        <f t="shared" si="7"/>
        <v>0</v>
      </c>
      <c r="G29" s="112">
        <f t="shared" si="7"/>
        <v>0</v>
      </c>
      <c r="H29" s="112">
        <f t="shared" si="7"/>
        <v>0</v>
      </c>
      <c r="I29" s="112">
        <f t="shared" si="7"/>
        <v>0</v>
      </c>
      <c r="J29" s="112">
        <f t="shared" si="7"/>
        <v>0</v>
      </c>
      <c r="K29" s="112">
        <f t="shared" si="7"/>
        <v>0</v>
      </c>
      <c r="L29" s="112">
        <f t="shared" si="7"/>
        <v>0</v>
      </c>
      <c r="M29" s="112">
        <f t="shared" si="7"/>
        <v>0</v>
      </c>
      <c r="N29" s="112">
        <f t="shared" si="7"/>
        <v>0</v>
      </c>
      <c r="O29" s="112">
        <f t="shared" ref="O29" si="8">+O17+O23</f>
        <v>6902249</v>
      </c>
    </row>
    <row r="30" spans="1:18" ht="22.5" x14ac:dyDescent="0.2">
      <c r="A30" s="84">
        <v>26</v>
      </c>
      <c r="B30" s="162" t="s">
        <v>208</v>
      </c>
      <c r="C30" s="85" t="s">
        <v>189</v>
      </c>
      <c r="D30" s="112">
        <f t="shared" ref="D30:N30" si="9">+D18+D24</f>
        <v>6872269</v>
      </c>
      <c r="E30" s="112">
        <f t="shared" si="9"/>
        <v>6909808</v>
      </c>
      <c r="F30" s="112">
        <f t="shared" si="9"/>
        <v>6578369</v>
      </c>
      <c r="G30" s="112">
        <f t="shared" si="9"/>
        <v>0</v>
      </c>
      <c r="H30" s="112">
        <f t="shared" si="9"/>
        <v>0</v>
      </c>
      <c r="I30" s="112">
        <f t="shared" si="9"/>
        <v>0</v>
      </c>
      <c r="J30" s="112">
        <f t="shared" si="9"/>
        <v>0</v>
      </c>
      <c r="K30" s="112">
        <f t="shared" si="9"/>
        <v>0</v>
      </c>
      <c r="L30" s="112">
        <f t="shared" si="9"/>
        <v>0</v>
      </c>
      <c r="M30" s="112">
        <f t="shared" si="9"/>
        <v>0</v>
      </c>
      <c r="N30" s="112">
        <f t="shared" si="9"/>
        <v>0</v>
      </c>
      <c r="O30" s="112">
        <f t="shared" ref="O30" si="10">+O18+O24</f>
        <v>6880893</v>
      </c>
    </row>
    <row r="31" spans="1:18" ht="22.5" x14ac:dyDescent="0.2">
      <c r="A31" s="82">
        <v>27</v>
      </c>
      <c r="B31" s="161" t="s">
        <v>209</v>
      </c>
      <c r="C31" s="83" t="s">
        <v>189</v>
      </c>
      <c r="D31" s="112">
        <f t="shared" ref="D31:N31" si="11">+D19+D25</f>
        <v>5727569</v>
      </c>
      <c r="E31" s="112">
        <f t="shared" si="11"/>
        <v>6115839</v>
      </c>
      <c r="F31" s="112">
        <f t="shared" si="11"/>
        <v>0</v>
      </c>
      <c r="G31" s="112">
        <f t="shared" si="11"/>
        <v>0</v>
      </c>
      <c r="H31" s="112">
        <f t="shared" si="11"/>
        <v>0</v>
      </c>
      <c r="I31" s="112">
        <f t="shared" si="11"/>
        <v>0</v>
      </c>
      <c r="J31" s="112">
        <f t="shared" si="11"/>
        <v>0</v>
      </c>
      <c r="K31" s="112">
        <f t="shared" si="11"/>
        <v>0</v>
      </c>
      <c r="L31" s="112">
        <f t="shared" si="11"/>
        <v>0</v>
      </c>
      <c r="M31" s="112">
        <f t="shared" si="11"/>
        <v>0</v>
      </c>
      <c r="N31" s="112">
        <f t="shared" si="11"/>
        <v>0</v>
      </c>
      <c r="O31" s="112">
        <f t="shared" ref="O31" si="12">+O19+O25</f>
        <v>5718937</v>
      </c>
    </row>
    <row r="32" spans="1:18" s="132" customFormat="1" x14ac:dyDescent="0.2">
      <c r="A32" s="129">
        <v>28</v>
      </c>
      <c r="B32" s="164" t="s">
        <v>210</v>
      </c>
      <c r="C32" s="130" t="s">
        <v>189</v>
      </c>
      <c r="D32" s="131">
        <f t="shared" ref="D32:O32" si="13">+D26+D28+D30</f>
        <v>32638426</v>
      </c>
      <c r="E32" s="131">
        <f t="shared" si="13"/>
        <v>38413154</v>
      </c>
      <c r="F32" s="131">
        <f t="shared" si="13"/>
        <v>33829184</v>
      </c>
      <c r="G32" s="131">
        <f t="shared" si="13"/>
        <v>0</v>
      </c>
      <c r="H32" s="131">
        <f t="shared" si="13"/>
        <v>0</v>
      </c>
      <c r="I32" s="131">
        <f t="shared" si="13"/>
        <v>0</v>
      </c>
      <c r="J32" s="131">
        <f t="shared" si="13"/>
        <v>0</v>
      </c>
      <c r="K32" s="131">
        <f t="shared" si="13"/>
        <v>0</v>
      </c>
      <c r="L32" s="131">
        <f t="shared" si="13"/>
        <v>0</v>
      </c>
      <c r="M32" s="131">
        <f t="shared" si="13"/>
        <v>0</v>
      </c>
      <c r="N32" s="131">
        <f t="shared" si="13"/>
        <v>0</v>
      </c>
      <c r="O32" s="131">
        <f t="shared" si="13"/>
        <v>32789026</v>
      </c>
      <c r="P32" s="133"/>
      <c r="Q32" s="133"/>
    </row>
    <row r="33" spans="1:17" s="132" customFormat="1" ht="15" customHeight="1" x14ac:dyDescent="0.2">
      <c r="A33" s="129">
        <v>29</v>
      </c>
      <c r="B33" s="165" t="s">
        <v>211</v>
      </c>
      <c r="C33" s="134" t="s">
        <v>189</v>
      </c>
      <c r="D33" s="131">
        <f t="shared" ref="D33:O33" si="14">+D31+D29+D27</f>
        <v>27233300</v>
      </c>
      <c r="E33" s="131">
        <f t="shared" si="14"/>
        <v>34446950</v>
      </c>
      <c r="F33" s="131">
        <f t="shared" si="14"/>
        <v>0</v>
      </c>
      <c r="G33" s="131">
        <f t="shared" si="14"/>
        <v>0</v>
      </c>
      <c r="H33" s="131">
        <f t="shared" si="14"/>
        <v>0</v>
      </c>
      <c r="I33" s="131">
        <f t="shared" si="14"/>
        <v>0</v>
      </c>
      <c r="J33" s="131">
        <f t="shared" si="14"/>
        <v>0</v>
      </c>
      <c r="K33" s="131">
        <f t="shared" si="14"/>
        <v>0</v>
      </c>
      <c r="L33" s="131">
        <f t="shared" si="14"/>
        <v>0</v>
      </c>
      <c r="M33" s="131">
        <f t="shared" si="14"/>
        <v>0</v>
      </c>
      <c r="N33" s="131">
        <f t="shared" si="14"/>
        <v>0</v>
      </c>
      <c r="O33" s="131">
        <f t="shared" si="14"/>
        <v>27173750</v>
      </c>
      <c r="P33" s="133"/>
      <c r="Q33" s="133"/>
    </row>
    <row r="34" spans="1:17" ht="15" customHeight="1" x14ac:dyDescent="0.2">
      <c r="A34" s="84">
        <v>30</v>
      </c>
      <c r="B34" s="162" t="s">
        <v>212</v>
      </c>
      <c r="C34" s="85" t="s">
        <v>213</v>
      </c>
      <c r="D34" s="88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1:17" ht="12.75" customHeight="1" x14ac:dyDescent="0.2">
      <c r="A35" s="82">
        <v>31</v>
      </c>
      <c r="B35" s="161" t="s">
        <v>214</v>
      </c>
      <c r="C35" s="83" t="s">
        <v>213</v>
      </c>
      <c r="D35" s="89"/>
      <c r="E35" s="89"/>
      <c r="F35" s="89"/>
      <c r="G35" s="89"/>
      <c r="H35" s="89"/>
      <c r="I35" s="89"/>
      <c r="J35" s="89"/>
      <c r="K35" s="89"/>
      <c r="L35" s="156"/>
      <c r="M35" s="89"/>
      <c r="N35" s="89"/>
      <c r="O35" s="89"/>
    </row>
    <row r="36" spans="1:17" x14ac:dyDescent="0.2">
      <c r="A36" s="84">
        <v>32</v>
      </c>
      <c r="B36" s="162" t="s">
        <v>215</v>
      </c>
      <c r="C36" s="85"/>
      <c r="D36" s="88">
        <v>24.05</v>
      </c>
      <c r="E36" s="90">
        <v>26.82</v>
      </c>
      <c r="F36" s="90"/>
      <c r="G36" s="158"/>
      <c r="H36" s="158"/>
      <c r="I36" s="90"/>
      <c r="J36" s="90"/>
      <c r="K36" s="90"/>
      <c r="L36" s="90"/>
      <c r="M36" s="158"/>
      <c r="N36" s="158"/>
      <c r="O36" s="90">
        <v>41.83</v>
      </c>
    </row>
    <row r="37" spans="1:17" ht="33.75" x14ac:dyDescent="0.2">
      <c r="A37" s="82">
        <v>33</v>
      </c>
      <c r="B37" s="161" t="s">
        <v>132</v>
      </c>
      <c r="C37" s="83"/>
      <c r="D37" s="113">
        <f>+D32-D33</f>
        <v>5405126</v>
      </c>
      <c r="E37" s="113">
        <f t="shared" ref="E37:M37" si="15">+E32-E33</f>
        <v>3966204</v>
      </c>
      <c r="F37" s="113">
        <f t="shared" si="15"/>
        <v>33829184</v>
      </c>
      <c r="G37" s="113">
        <f t="shared" si="15"/>
        <v>0</v>
      </c>
      <c r="H37" s="113">
        <f t="shared" si="15"/>
        <v>0</v>
      </c>
      <c r="I37" s="113">
        <f t="shared" si="15"/>
        <v>0</v>
      </c>
      <c r="J37" s="113">
        <f t="shared" si="15"/>
        <v>0</v>
      </c>
      <c r="K37" s="113">
        <f t="shared" si="15"/>
        <v>0</v>
      </c>
      <c r="L37" s="113">
        <f t="shared" si="15"/>
        <v>0</v>
      </c>
      <c r="M37" s="113">
        <f t="shared" si="15"/>
        <v>0</v>
      </c>
      <c r="N37" s="113">
        <f>+N32-N33</f>
        <v>0</v>
      </c>
      <c r="O37" s="113">
        <f>+O32-O33</f>
        <v>5615276</v>
      </c>
    </row>
    <row r="38" spans="1:17" x14ac:dyDescent="0.2">
      <c r="A38" s="84">
        <v>34</v>
      </c>
      <c r="B38" s="162" t="s">
        <v>138</v>
      </c>
      <c r="C38" s="85"/>
      <c r="D38" s="88">
        <v>957</v>
      </c>
      <c r="E38" s="88">
        <v>954</v>
      </c>
      <c r="F38" s="90">
        <v>953</v>
      </c>
      <c r="G38" s="90">
        <v>958</v>
      </c>
      <c r="H38" s="90"/>
      <c r="I38" s="90"/>
      <c r="J38" s="90"/>
      <c r="K38" s="90"/>
      <c r="L38" s="90"/>
      <c r="M38" s="90"/>
      <c r="N38" s="90"/>
      <c r="O38" s="90">
        <v>911</v>
      </c>
      <c r="P38" s="121">
        <f>+O38/O6</f>
        <v>0.90827517447657025</v>
      </c>
    </row>
    <row r="39" spans="1:17" x14ac:dyDescent="0.2">
      <c r="A39" s="82">
        <v>35</v>
      </c>
      <c r="B39" s="161" t="s">
        <v>258</v>
      </c>
      <c r="C39" s="83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1:17" x14ac:dyDescent="0.2">
      <c r="A40" s="84">
        <v>36</v>
      </c>
      <c r="B40" s="162" t="s">
        <v>259</v>
      </c>
      <c r="C40" s="85"/>
      <c r="D40" s="88">
        <v>0</v>
      </c>
      <c r="E40" s="88">
        <v>3</v>
      </c>
      <c r="F40" s="155"/>
      <c r="G40" s="88"/>
      <c r="H40" s="88"/>
      <c r="I40" s="88"/>
      <c r="J40" s="155"/>
      <c r="K40" s="88"/>
      <c r="L40" s="88"/>
      <c r="M40" s="88"/>
      <c r="N40" s="88"/>
      <c r="O40" s="88">
        <v>0</v>
      </c>
    </row>
    <row r="41" spans="1:17" x14ac:dyDescent="0.2">
      <c r="A41" s="68"/>
      <c r="C41" s="70"/>
      <c r="D41" s="77"/>
      <c r="E41" s="74"/>
      <c r="F41" s="74"/>
      <c r="G41" s="74"/>
    </row>
    <row r="42" spans="1:17" x14ac:dyDescent="0.2">
      <c r="A42" s="82"/>
      <c r="B42" s="161" t="s">
        <v>32</v>
      </c>
      <c r="C42" s="83"/>
      <c r="D42" s="91">
        <f>+D4</f>
        <v>46023</v>
      </c>
      <c r="E42" s="91">
        <f>+E4</f>
        <v>46054</v>
      </c>
      <c r="F42" s="91">
        <f>+F4</f>
        <v>46082</v>
      </c>
      <c r="G42" s="91">
        <f>+G4</f>
        <v>46113</v>
      </c>
      <c r="H42" s="91">
        <f>+H4</f>
        <v>46143</v>
      </c>
      <c r="I42" s="91">
        <f t="shared" ref="I42:O42" si="16">+I4</f>
        <v>46174</v>
      </c>
      <c r="J42" s="91">
        <f t="shared" si="16"/>
        <v>46204</v>
      </c>
      <c r="K42" s="91">
        <f t="shared" si="16"/>
        <v>46235</v>
      </c>
      <c r="L42" s="91">
        <f t="shared" si="16"/>
        <v>46266</v>
      </c>
      <c r="M42" s="91">
        <f t="shared" si="16"/>
        <v>46296</v>
      </c>
      <c r="N42" s="91">
        <f t="shared" si="16"/>
        <v>46327</v>
      </c>
      <c r="O42" s="91">
        <f t="shared" si="16"/>
        <v>46357</v>
      </c>
    </row>
    <row r="43" spans="1:17" x14ac:dyDescent="0.2">
      <c r="A43" s="84"/>
      <c r="B43" s="162" t="s">
        <v>216</v>
      </c>
      <c r="C43" s="111"/>
      <c r="D43" s="139">
        <f>+D14+D16+D18</f>
        <v>27622428</v>
      </c>
      <c r="E43" s="139">
        <f t="shared" ref="E43:O44" si="17">+E14+E16+E18</f>
        <v>33061528</v>
      </c>
      <c r="F43" s="139">
        <f t="shared" si="17"/>
        <v>31387755</v>
      </c>
      <c r="G43" s="114">
        <f>+G14+G16+G18</f>
        <v>0</v>
      </c>
      <c r="H43" s="114">
        <f>+G15+H16+H18</f>
        <v>0</v>
      </c>
      <c r="I43" s="114">
        <f t="shared" si="17"/>
        <v>0</v>
      </c>
      <c r="J43" s="114">
        <f t="shared" si="17"/>
        <v>0</v>
      </c>
      <c r="K43" s="114">
        <f t="shared" si="17"/>
        <v>0</v>
      </c>
      <c r="L43" s="114">
        <f t="shared" si="17"/>
        <v>0</v>
      </c>
      <c r="M43" s="114">
        <f t="shared" si="17"/>
        <v>0</v>
      </c>
      <c r="N43" s="114">
        <f t="shared" si="17"/>
        <v>0</v>
      </c>
      <c r="O43" s="114">
        <f t="shared" si="17"/>
        <v>27743028</v>
      </c>
    </row>
    <row r="44" spans="1:17" x14ac:dyDescent="0.2">
      <c r="A44" s="82"/>
      <c r="B44" s="161" t="s">
        <v>217</v>
      </c>
      <c r="C44" s="110"/>
      <c r="D44" s="139">
        <f>+D15+D17+D19</f>
        <v>22878400</v>
      </c>
      <c r="E44" s="139">
        <f t="shared" si="17"/>
        <v>29259082</v>
      </c>
      <c r="F44" s="139">
        <f t="shared" si="17"/>
        <v>0</v>
      </c>
      <c r="G44" s="114">
        <f t="shared" si="17"/>
        <v>0</v>
      </c>
      <c r="H44" s="114">
        <f t="shared" si="17"/>
        <v>0</v>
      </c>
      <c r="I44" s="114">
        <f t="shared" si="17"/>
        <v>0</v>
      </c>
      <c r="J44" s="114">
        <f t="shared" si="17"/>
        <v>0</v>
      </c>
      <c r="K44" s="114">
        <f t="shared" si="17"/>
        <v>0</v>
      </c>
      <c r="L44" s="114">
        <f t="shared" si="17"/>
        <v>0</v>
      </c>
      <c r="M44" s="114">
        <f t="shared" si="17"/>
        <v>0</v>
      </c>
      <c r="N44" s="114">
        <f t="shared" si="17"/>
        <v>0</v>
      </c>
      <c r="O44" s="114">
        <f t="shared" si="17"/>
        <v>22818850</v>
      </c>
    </row>
    <row r="45" spans="1:17" x14ac:dyDescent="0.2">
      <c r="A45" s="84"/>
      <c r="B45" s="162" t="s">
        <v>32</v>
      </c>
      <c r="C45" s="85"/>
      <c r="D45" s="91">
        <f>+D4</f>
        <v>46023</v>
      </c>
      <c r="E45" s="91">
        <f t="shared" ref="E45:O45" si="18">+E4</f>
        <v>46054</v>
      </c>
      <c r="F45" s="91">
        <f t="shared" si="18"/>
        <v>46082</v>
      </c>
      <c r="G45" s="91">
        <f t="shared" si="18"/>
        <v>46113</v>
      </c>
      <c r="H45" s="91">
        <f t="shared" si="18"/>
        <v>46143</v>
      </c>
      <c r="I45" s="91">
        <f t="shared" si="18"/>
        <v>46174</v>
      </c>
      <c r="J45" s="91">
        <f t="shared" si="18"/>
        <v>46204</v>
      </c>
      <c r="K45" s="91">
        <f t="shared" si="18"/>
        <v>46235</v>
      </c>
      <c r="L45" s="91">
        <f t="shared" si="18"/>
        <v>46266</v>
      </c>
      <c r="M45" s="91">
        <f t="shared" si="18"/>
        <v>46296</v>
      </c>
      <c r="N45" s="91">
        <f t="shared" si="18"/>
        <v>46327</v>
      </c>
      <c r="O45" s="91">
        <f t="shared" si="18"/>
        <v>46357</v>
      </c>
    </row>
    <row r="46" spans="1:17" x14ac:dyDescent="0.2">
      <c r="A46" s="82"/>
      <c r="B46" s="161" t="s">
        <v>218</v>
      </c>
      <c r="C46" s="83"/>
      <c r="D46" s="139">
        <f>+D20+D22+D24</f>
        <v>5015998</v>
      </c>
      <c r="E46" s="139">
        <f t="shared" ref="E46:O46" si="19">+E20+E22+E24</f>
        <v>5351626</v>
      </c>
      <c r="F46" s="139">
        <f t="shared" si="19"/>
        <v>2441429</v>
      </c>
      <c r="G46" s="114">
        <f t="shared" si="19"/>
        <v>0</v>
      </c>
      <c r="H46" s="114">
        <f t="shared" si="19"/>
        <v>0</v>
      </c>
      <c r="I46" s="114">
        <f t="shared" si="19"/>
        <v>0</v>
      </c>
      <c r="J46" s="114">
        <f t="shared" si="19"/>
        <v>0</v>
      </c>
      <c r="K46" s="114">
        <f t="shared" si="19"/>
        <v>0</v>
      </c>
      <c r="L46" s="114">
        <f t="shared" si="19"/>
        <v>0</v>
      </c>
      <c r="M46" s="114">
        <f t="shared" si="19"/>
        <v>0</v>
      </c>
      <c r="N46" s="114">
        <f t="shared" si="19"/>
        <v>0</v>
      </c>
      <c r="O46" s="114">
        <f t="shared" si="19"/>
        <v>5045998</v>
      </c>
    </row>
    <row r="47" spans="1:17" x14ac:dyDescent="0.2">
      <c r="A47" s="84"/>
      <c r="B47" s="162" t="s">
        <v>219</v>
      </c>
      <c r="C47" s="111"/>
      <c r="D47" s="139">
        <f>+D21+D23+D25</f>
        <v>4354900</v>
      </c>
      <c r="E47" s="139">
        <f t="shared" ref="E47:O47" si="20">+E21+E23+E25</f>
        <v>5187868</v>
      </c>
      <c r="F47" s="139">
        <f t="shared" si="20"/>
        <v>0</v>
      </c>
      <c r="G47" s="114">
        <f t="shared" si="20"/>
        <v>0</v>
      </c>
      <c r="H47" s="114">
        <f t="shared" si="20"/>
        <v>0</v>
      </c>
      <c r="I47" s="114">
        <f t="shared" si="20"/>
        <v>0</v>
      </c>
      <c r="J47" s="114">
        <f t="shared" si="20"/>
        <v>0</v>
      </c>
      <c r="K47" s="114">
        <f t="shared" si="20"/>
        <v>0</v>
      </c>
      <c r="L47" s="114">
        <f t="shared" si="20"/>
        <v>0</v>
      </c>
      <c r="M47" s="114">
        <f t="shared" si="20"/>
        <v>0</v>
      </c>
      <c r="N47" s="114">
        <f t="shared" si="20"/>
        <v>0</v>
      </c>
      <c r="O47" s="114">
        <f t="shared" si="20"/>
        <v>4354900</v>
      </c>
    </row>
    <row r="48" spans="1:17" x14ac:dyDescent="0.2">
      <c r="A48" s="82"/>
      <c r="B48" s="161" t="s">
        <v>220</v>
      </c>
      <c r="C48" s="83"/>
      <c r="D48" s="115">
        <f t="shared" ref="D48:O48" si="21">+D44/D43</f>
        <v>0.82825448943155899</v>
      </c>
      <c r="E48" s="115">
        <f t="shared" si="21"/>
        <v>0.88498880027565574</v>
      </c>
      <c r="F48" s="115">
        <f t="shared" si="21"/>
        <v>0</v>
      </c>
      <c r="G48" s="115" t="e">
        <f t="shared" si="21"/>
        <v>#DIV/0!</v>
      </c>
      <c r="H48" s="115" t="e">
        <f t="shared" si="21"/>
        <v>#DIV/0!</v>
      </c>
      <c r="I48" s="115" t="e">
        <f t="shared" si="21"/>
        <v>#DIV/0!</v>
      </c>
      <c r="J48" s="115" t="e">
        <f>+J44/J43</f>
        <v>#DIV/0!</v>
      </c>
      <c r="K48" s="115" t="e">
        <f t="shared" si="21"/>
        <v>#DIV/0!</v>
      </c>
      <c r="L48" s="115" t="e">
        <f t="shared" si="21"/>
        <v>#DIV/0!</v>
      </c>
      <c r="M48" s="115" t="e">
        <f t="shared" si="21"/>
        <v>#DIV/0!</v>
      </c>
      <c r="N48" s="115" t="e">
        <f t="shared" si="21"/>
        <v>#DIV/0!</v>
      </c>
      <c r="O48" s="115">
        <f t="shared" si="21"/>
        <v>0.82250755036544676</v>
      </c>
    </row>
    <row r="49" spans="1:17" x14ac:dyDescent="0.2">
      <c r="A49" s="84"/>
      <c r="B49" s="166" t="s">
        <v>221</v>
      </c>
      <c r="C49" s="92"/>
      <c r="D49" s="115">
        <f t="shared" ref="D49:O49" si="22">+D47/D46</f>
        <v>0.86820210055905123</v>
      </c>
      <c r="E49" s="115">
        <f t="shared" si="22"/>
        <v>0.96940032804983012</v>
      </c>
      <c r="F49" s="115">
        <f>+F47/F46</f>
        <v>0</v>
      </c>
      <c r="G49" s="115" t="e">
        <f t="shared" si="22"/>
        <v>#DIV/0!</v>
      </c>
      <c r="H49" s="115" t="e">
        <f t="shared" si="22"/>
        <v>#DIV/0!</v>
      </c>
      <c r="I49" s="115" t="e">
        <f t="shared" si="22"/>
        <v>#DIV/0!</v>
      </c>
      <c r="J49" s="115" t="e">
        <f t="shared" si="22"/>
        <v>#DIV/0!</v>
      </c>
      <c r="K49" s="115" t="e">
        <f t="shared" si="22"/>
        <v>#DIV/0!</v>
      </c>
      <c r="L49" s="115" t="e">
        <f t="shared" si="22"/>
        <v>#DIV/0!</v>
      </c>
      <c r="M49" s="115" t="e">
        <f t="shared" si="22"/>
        <v>#DIV/0!</v>
      </c>
      <c r="N49" s="115" t="e">
        <f t="shared" si="22"/>
        <v>#DIV/0!</v>
      </c>
      <c r="O49" s="115">
        <f t="shared" si="22"/>
        <v>0.86304037377739751</v>
      </c>
    </row>
    <row r="50" spans="1:17" x14ac:dyDescent="0.2">
      <c r="A50" s="68"/>
      <c r="C50" s="70"/>
      <c r="D50" s="78"/>
      <c r="E50" s="78"/>
      <c r="F50" s="78"/>
      <c r="G50" s="78"/>
    </row>
    <row r="51" spans="1:17" x14ac:dyDescent="0.2">
      <c r="A51" s="68"/>
      <c r="C51" s="70"/>
      <c r="D51" s="79"/>
      <c r="E51" s="79"/>
      <c r="F51" s="79"/>
      <c r="G51" s="79"/>
    </row>
    <row r="52" spans="1:17" x14ac:dyDescent="0.2">
      <c r="A52" s="71" t="s">
        <v>222</v>
      </c>
      <c r="B52" s="167"/>
      <c r="C52" s="80" t="s">
        <v>180</v>
      </c>
      <c r="D52" s="81">
        <f>+D4</f>
        <v>46023</v>
      </c>
      <c r="E52" s="81">
        <f t="shared" ref="E52:O52" si="23">+E4</f>
        <v>46054</v>
      </c>
      <c r="F52" s="81">
        <f t="shared" si="23"/>
        <v>46082</v>
      </c>
      <c r="G52" s="81">
        <f t="shared" si="23"/>
        <v>46113</v>
      </c>
      <c r="H52" s="81">
        <f t="shared" si="23"/>
        <v>46143</v>
      </c>
      <c r="I52" s="81">
        <f t="shared" si="23"/>
        <v>46174</v>
      </c>
      <c r="J52" s="81">
        <f t="shared" si="23"/>
        <v>46204</v>
      </c>
      <c r="K52" s="81">
        <f t="shared" si="23"/>
        <v>46235</v>
      </c>
      <c r="L52" s="81">
        <f t="shared" si="23"/>
        <v>46266</v>
      </c>
      <c r="M52" s="81">
        <f t="shared" si="23"/>
        <v>46296</v>
      </c>
      <c r="N52" s="81">
        <f t="shared" si="23"/>
        <v>46327</v>
      </c>
      <c r="O52" s="81">
        <f t="shared" si="23"/>
        <v>46357</v>
      </c>
    </row>
    <row r="53" spans="1:17" x14ac:dyDescent="0.2">
      <c r="A53" s="106">
        <v>1</v>
      </c>
      <c r="B53" s="161" t="s">
        <v>223</v>
      </c>
      <c r="C53" s="83" t="s">
        <v>224</v>
      </c>
      <c r="D53" s="116" t="e">
        <f>+D6/D5</f>
        <v>#DIV/0!</v>
      </c>
      <c r="E53" s="116" t="e">
        <f t="shared" ref="E53:O53" si="24">+E6/E5</f>
        <v>#DIV/0!</v>
      </c>
      <c r="F53" s="116" t="e">
        <f t="shared" si="24"/>
        <v>#DIV/0!</v>
      </c>
      <c r="G53" s="116" t="e">
        <f t="shared" si="24"/>
        <v>#DIV/0!</v>
      </c>
      <c r="H53" s="116" t="e">
        <f t="shared" si="24"/>
        <v>#DIV/0!</v>
      </c>
      <c r="I53" s="116" t="e">
        <f t="shared" si="24"/>
        <v>#DIV/0!</v>
      </c>
      <c r="J53" s="116" t="e">
        <f t="shared" si="24"/>
        <v>#DIV/0!</v>
      </c>
      <c r="K53" s="116" t="e">
        <f t="shared" si="24"/>
        <v>#DIV/0!</v>
      </c>
      <c r="L53" s="116" t="e">
        <f t="shared" si="24"/>
        <v>#DIV/0!</v>
      </c>
      <c r="M53" s="116" t="e">
        <f t="shared" si="24"/>
        <v>#DIV/0!</v>
      </c>
      <c r="N53" s="116" t="e">
        <f t="shared" si="24"/>
        <v>#DIV/0!</v>
      </c>
      <c r="O53" s="116">
        <f t="shared" si="24"/>
        <v>0.99900398406374502</v>
      </c>
      <c r="P53" s="168" t="e">
        <f>AVERAGE(D53:O53)</f>
        <v>#DIV/0!</v>
      </c>
    </row>
    <row r="54" spans="1:17" x14ac:dyDescent="0.2">
      <c r="A54" s="107">
        <v>2</v>
      </c>
      <c r="B54" s="162" t="s">
        <v>225</v>
      </c>
      <c r="C54" s="85" t="s">
        <v>224</v>
      </c>
      <c r="D54" s="116" t="e">
        <f>+D7/D5</f>
        <v>#DIV/0!</v>
      </c>
      <c r="E54" s="116" t="e">
        <f t="shared" ref="E54:O54" si="25">+E7/E5</f>
        <v>#DIV/0!</v>
      </c>
      <c r="F54" s="116" t="e">
        <f t="shared" si="25"/>
        <v>#DIV/0!</v>
      </c>
      <c r="G54" s="116" t="e">
        <f t="shared" si="25"/>
        <v>#DIV/0!</v>
      </c>
      <c r="H54" s="116" t="e">
        <f t="shared" si="25"/>
        <v>#DIV/0!</v>
      </c>
      <c r="I54" s="116" t="e">
        <f t="shared" si="25"/>
        <v>#DIV/0!</v>
      </c>
      <c r="J54" s="116" t="e">
        <f t="shared" si="25"/>
        <v>#DIV/0!</v>
      </c>
      <c r="K54" s="116" t="e">
        <f t="shared" si="25"/>
        <v>#DIV/0!</v>
      </c>
      <c r="L54" s="116" t="e">
        <f t="shared" si="25"/>
        <v>#DIV/0!</v>
      </c>
      <c r="M54" s="116" t="e">
        <f t="shared" si="25"/>
        <v>#DIV/0!</v>
      </c>
      <c r="N54" s="116" t="e">
        <f t="shared" si="25"/>
        <v>#DIV/0!</v>
      </c>
      <c r="O54" s="116">
        <f t="shared" si="25"/>
        <v>0.96912350597609564</v>
      </c>
      <c r="P54" s="168" t="e">
        <f t="shared" ref="P54:P55" si="26">AVERAGE(D54:O54)</f>
        <v>#DIV/0!</v>
      </c>
    </row>
    <row r="55" spans="1:17" x14ac:dyDescent="0.2">
      <c r="A55" s="106">
        <v>3</v>
      </c>
      <c r="B55" s="161" t="s">
        <v>226</v>
      </c>
      <c r="C55" s="83" t="s">
        <v>224</v>
      </c>
      <c r="D55" s="116" t="str">
        <f t="shared" ref="D55:O55" si="27">IF((D5&gt;0),D8/D5,"0")</f>
        <v>0</v>
      </c>
      <c r="E55" s="116" t="str">
        <f t="shared" si="27"/>
        <v>0</v>
      </c>
      <c r="F55" s="116" t="str">
        <f t="shared" si="27"/>
        <v>0</v>
      </c>
      <c r="G55" s="116" t="str">
        <f t="shared" si="27"/>
        <v>0</v>
      </c>
      <c r="H55" s="116" t="str">
        <f t="shared" si="27"/>
        <v>0</v>
      </c>
      <c r="I55" s="116" t="str">
        <f t="shared" si="27"/>
        <v>0</v>
      </c>
      <c r="J55" s="116" t="str">
        <f t="shared" si="27"/>
        <v>0</v>
      </c>
      <c r="K55" s="116" t="str">
        <f t="shared" si="27"/>
        <v>0</v>
      </c>
      <c r="L55" s="116" t="str">
        <f t="shared" si="27"/>
        <v>0</v>
      </c>
      <c r="M55" s="116" t="str">
        <f t="shared" si="27"/>
        <v>0</v>
      </c>
      <c r="N55" s="116" t="str">
        <f t="shared" si="27"/>
        <v>0</v>
      </c>
      <c r="O55" s="116">
        <f t="shared" si="27"/>
        <v>0.93127490039840632</v>
      </c>
      <c r="P55" s="168">
        <f t="shared" si="26"/>
        <v>0.93127490039840632</v>
      </c>
    </row>
    <row r="56" spans="1:17" x14ac:dyDescent="0.2">
      <c r="A56" s="107">
        <v>4</v>
      </c>
      <c r="B56" s="162" t="s">
        <v>227</v>
      </c>
      <c r="C56" s="85" t="s">
        <v>228</v>
      </c>
      <c r="D56" s="88"/>
      <c r="E56" s="88"/>
      <c r="F56" s="88"/>
      <c r="G56" s="88"/>
      <c r="H56" s="88"/>
      <c r="I56" s="88"/>
      <c r="J56" s="88"/>
      <c r="K56" s="108"/>
      <c r="L56" s="88"/>
      <c r="M56" s="88"/>
      <c r="N56" s="88"/>
      <c r="O56" s="88"/>
    </row>
    <row r="57" spans="1:17" ht="22.5" x14ac:dyDescent="0.2">
      <c r="A57" s="106">
        <v>5</v>
      </c>
      <c r="B57" s="161" t="s">
        <v>229</v>
      </c>
      <c r="C57" s="83" t="s">
        <v>224</v>
      </c>
      <c r="D57" s="116">
        <f>+ROUND((D9-D10)/D9,4)</f>
        <v>0.49280000000000002</v>
      </c>
      <c r="E57" s="116">
        <f t="shared" ref="E57:N57" si="28">+ROUND((E9-E10)/E9,4)</f>
        <v>0.114</v>
      </c>
      <c r="F57" s="116">
        <f t="shared" si="28"/>
        <v>0.49990000000000001</v>
      </c>
      <c r="G57" s="116" t="e">
        <f t="shared" si="28"/>
        <v>#DIV/0!</v>
      </c>
      <c r="H57" s="116" t="e">
        <f t="shared" si="28"/>
        <v>#DIV/0!</v>
      </c>
      <c r="I57" s="116" t="e">
        <f t="shared" si="28"/>
        <v>#DIV/0!</v>
      </c>
      <c r="J57" s="116" t="e">
        <f t="shared" si="28"/>
        <v>#DIV/0!</v>
      </c>
      <c r="K57" s="116" t="e">
        <f>+ROUND((K9-K10)/K9,4)</f>
        <v>#DIV/0!</v>
      </c>
      <c r="L57" s="116" t="e">
        <f t="shared" si="28"/>
        <v>#DIV/0!</v>
      </c>
      <c r="M57" s="116" t="e">
        <f t="shared" si="28"/>
        <v>#DIV/0!</v>
      </c>
      <c r="N57" s="116" t="e">
        <f t="shared" si="28"/>
        <v>#DIV/0!</v>
      </c>
      <c r="O57" s="116">
        <f>+ROUND((O9-O10)/O9,4)</f>
        <v>0.42749999999999999</v>
      </c>
      <c r="P57" s="116">
        <f>+ROUND((P9-P10)/P9,4)</f>
        <v>0.22800000000000001</v>
      </c>
      <c r="Q57" s="58">
        <f>+P57/12</f>
        <v>1.9E-2</v>
      </c>
    </row>
    <row r="58" spans="1:17" ht="22.5" x14ac:dyDescent="0.2">
      <c r="A58" s="107">
        <v>6</v>
      </c>
      <c r="B58" s="162" t="s">
        <v>230</v>
      </c>
      <c r="C58" s="85" t="s">
        <v>224</v>
      </c>
      <c r="D58" s="116">
        <f>+D15/D14</f>
        <v>0.82741680330482548</v>
      </c>
      <c r="E58" s="116">
        <f t="shared" ref="E58:N58" si="29">+E15/E14</f>
        <v>0.88785647643819166</v>
      </c>
      <c r="F58" s="116">
        <f t="shared" si="29"/>
        <v>0</v>
      </c>
      <c r="G58" s="116" t="e">
        <f t="shared" si="29"/>
        <v>#DIV/0!</v>
      </c>
      <c r="H58" s="116" t="e">
        <f t="shared" si="29"/>
        <v>#DIV/0!</v>
      </c>
      <c r="I58" s="116" t="e">
        <f t="shared" si="29"/>
        <v>#DIV/0!</v>
      </c>
      <c r="J58" s="116" t="e">
        <f t="shared" si="29"/>
        <v>#DIV/0!</v>
      </c>
      <c r="K58" s="116" t="e">
        <f t="shared" si="29"/>
        <v>#DIV/0!</v>
      </c>
      <c r="L58" s="116" t="e">
        <f t="shared" si="29"/>
        <v>#DIV/0!</v>
      </c>
      <c r="M58" s="116" t="e">
        <f t="shared" si="29"/>
        <v>#DIV/0!</v>
      </c>
      <c r="N58" s="116" t="e">
        <f t="shared" si="29"/>
        <v>#DIV/0!</v>
      </c>
      <c r="O58" s="116">
        <f t="shared" ref="O58:P58" si="30">+O15/O14</f>
        <v>0.82051423868233297</v>
      </c>
      <c r="P58" s="116">
        <f t="shared" si="30"/>
        <v>0.62449716043584957</v>
      </c>
    </row>
    <row r="59" spans="1:17" ht="22.5" x14ac:dyDescent="0.2">
      <c r="A59" s="106">
        <v>7</v>
      </c>
      <c r="B59" s="161" t="s">
        <v>231</v>
      </c>
      <c r="C59" s="83" t="s">
        <v>224</v>
      </c>
      <c r="D59" s="116">
        <f>+D17/D16</f>
        <v>0.82904644892261725</v>
      </c>
      <c r="E59" s="116">
        <f t="shared" ref="E59:N59" si="31">+E17/E16</f>
        <v>0.88562867247700683</v>
      </c>
      <c r="F59" s="116">
        <f t="shared" si="31"/>
        <v>0</v>
      </c>
      <c r="G59" s="116" t="e">
        <f t="shared" si="31"/>
        <v>#DIV/0!</v>
      </c>
      <c r="H59" s="116" t="e">
        <f t="shared" si="31"/>
        <v>#DIV/0!</v>
      </c>
      <c r="I59" s="116" t="e">
        <f t="shared" si="31"/>
        <v>#DIV/0!</v>
      </c>
      <c r="J59" s="116" t="e">
        <f t="shared" si="31"/>
        <v>#DIV/0!</v>
      </c>
      <c r="K59" s="116" t="e">
        <f t="shared" si="31"/>
        <v>#DIV/0!</v>
      </c>
      <c r="L59" s="116" t="e">
        <f t="shared" si="31"/>
        <v>#DIV/0!</v>
      </c>
      <c r="M59" s="116" t="e">
        <f t="shared" si="31"/>
        <v>#DIV/0!</v>
      </c>
      <c r="N59" s="116" t="e">
        <f t="shared" si="31"/>
        <v>#DIV/0!</v>
      </c>
      <c r="O59" s="116">
        <f t="shared" ref="O59:P59" si="32">+O17/O16</f>
        <v>0.822264115930054</v>
      </c>
      <c r="P59" s="116">
        <f t="shared" si="32"/>
        <v>0.62303397567647378</v>
      </c>
    </row>
    <row r="60" spans="1:17" ht="22.5" x14ac:dyDescent="0.2">
      <c r="A60" s="107">
        <v>8</v>
      </c>
      <c r="B60" s="162" t="s">
        <v>232</v>
      </c>
      <c r="C60" s="85" t="s">
        <v>224</v>
      </c>
      <c r="D60" s="116">
        <f>+D19/D18</f>
        <v>0.82944408802812086</v>
      </c>
      <c r="E60" s="116">
        <f t="shared" ref="E60:N60" si="33">+E19/E18</f>
        <v>0.87474714953985166</v>
      </c>
      <c r="F60" s="116">
        <f t="shared" si="33"/>
        <v>0</v>
      </c>
      <c r="G60" s="116" t="e">
        <f t="shared" si="33"/>
        <v>#DIV/0!</v>
      </c>
      <c r="H60" s="116" t="e">
        <f t="shared" si="33"/>
        <v>#DIV/0!</v>
      </c>
      <c r="I60" s="116" t="e">
        <f t="shared" si="33"/>
        <v>#DIV/0!</v>
      </c>
      <c r="J60" s="116" t="e">
        <f t="shared" si="33"/>
        <v>#DIV/0!</v>
      </c>
      <c r="K60" s="116" t="e">
        <f t="shared" si="33"/>
        <v>#DIV/0!</v>
      </c>
      <c r="L60" s="116" t="e">
        <f t="shared" si="33"/>
        <v>#DIV/0!</v>
      </c>
      <c r="M60" s="116" t="e">
        <f t="shared" si="33"/>
        <v>#DIV/0!</v>
      </c>
      <c r="N60" s="116" t="e">
        <f t="shared" si="33"/>
        <v>#DIV/0!</v>
      </c>
      <c r="O60" s="116">
        <f t="shared" ref="O60:P60" si="34">+O19/O18</f>
        <v>0.82795019693852701</v>
      </c>
      <c r="P60" s="116">
        <f t="shared" si="34"/>
        <v>0.63217647338879646</v>
      </c>
    </row>
    <row r="61" spans="1:17" ht="22.5" x14ac:dyDescent="0.2">
      <c r="A61" s="106">
        <v>9</v>
      </c>
      <c r="B61" s="161" t="s">
        <v>233</v>
      </c>
      <c r="C61" s="83"/>
      <c r="D61" s="116">
        <f>+D21/D20</f>
        <v>0.886621378630567</v>
      </c>
      <c r="E61" s="116">
        <f t="shared" ref="E61:N61" si="35">+E21/E20</f>
        <v>0.98027138191413388</v>
      </c>
      <c r="F61" s="116">
        <f t="shared" si="35"/>
        <v>0</v>
      </c>
      <c r="G61" s="116" t="e">
        <f t="shared" si="35"/>
        <v>#DIV/0!</v>
      </c>
      <c r="H61" s="116" t="e">
        <f t="shared" si="35"/>
        <v>#DIV/0!</v>
      </c>
      <c r="I61" s="116" t="e">
        <f t="shared" si="35"/>
        <v>#DIV/0!</v>
      </c>
      <c r="J61" s="116" t="e">
        <f t="shared" si="35"/>
        <v>#DIV/0!</v>
      </c>
      <c r="K61" s="116" t="e">
        <f t="shared" si="35"/>
        <v>#DIV/0!</v>
      </c>
      <c r="L61" s="116" t="e">
        <f t="shared" si="35"/>
        <v>#DIV/0!</v>
      </c>
      <c r="M61" s="116" t="e">
        <f t="shared" si="35"/>
        <v>#DIV/0!</v>
      </c>
      <c r="N61" s="116" t="e">
        <f t="shared" si="35"/>
        <v>#DIV/0!</v>
      </c>
      <c r="O61" s="116" t="e">
        <f t="shared" ref="O61" si="36">+O21/N20</f>
        <v>#DIV/0!</v>
      </c>
    </row>
    <row r="62" spans="1:17" ht="22.5" x14ac:dyDescent="0.2">
      <c r="A62" s="107">
        <v>10</v>
      </c>
      <c r="B62" s="162" t="s">
        <v>234</v>
      </c>
      <c r="C62" s="85"/>
      <c r="D62" s="116">
        <f>+D23/D22</f>
        <v>0.84301088867827356</v>
      </c>
      <c r="E62" s="116">
        <f t="shared" ref="E62:N62" si="37">+E23/E22</f>
        <v>0.97387993970127873</v>
      </c>
      <c r="F62" s="116">
        <f t="shared" si="37"/>
        <v>0</v>
      </c>
      <c r="G62" s="116" t="e">
        <f t="shared" si="37"/>
        <v>#DIV/0!</v>
      </c>
      <c r="H62" s="116" t="e">
        <f t="shared" si="37"/>
        <v>#DIV/0!</v>
      </c>
      <c r="I62" s="116" t="e">
        <f t="shared" si="37"/>
        <v>#DIV/0!</v>
      </c>
      <c r="J62" s="116" t="e">
        <f t="shared" si="37"/>
        <v>#DIV/0!</v>
      </c>
      <c r="K62" s="116" t="e">
        <f t="shared" si="37"/>
        <v>#DIV/0!</v>
      </c>
      <c r="L62" s="116" t="e">
        <f t="shared" si="37"/>
        <v>#DIV/0!</v>
      </c>
      <c r="M62" s="116" t="e">
        <f t="shared" si="37"/>
        <v>#DIV/0!</v>
      </c>
      <c r="N62" s="116" t="e">
        <f t="shared" si="37"/>
        <v>#DIV/0!</v>
      </c>
      <c r="O62" s="116">
        <f t="shared" ref="O62" si="38">+O23/O22</f>
        <v>0.8380187446748083</v>
      </c>
    </row>
    <row r="63" spans="1:17" ht="22.5" x14ac:dyDescent="0.2">
      <c r="A63" s="106">
        <v>11</v>
      </c>
      <c r="B63" s="161" t="s">
        <v>235</v>
      </c>
      <c r="C63" s="83"/>
      <c r="D63" s="116">
        <f>+D25/D24</f>
        <v>0.85449377096529477</v>
      </c>
      <c r="E63" s="116">
        <f t="shared" ref="E63:N63" si="39">+E25/E24</f>
        <v>0.93719416927138599</v>
      </c>
      <c r="F63" s="116">
        <f t="shared" si="39"/>
        <v>0</v>
      </c>
      <c r="G63" s="116" t="e">
        <f t="shared" si="39"/>
        <v>#DIV/0!</v>
      </c>
      <c r="H63" s="116" t="e">
        <f t="shared" si="39"/>
        <v>#DIV/0!</v>
      </c>
      <c r="I63" s="116" t="e">
        <f t="shared" si="39"/>
        <v>#DIV/0!</v>
      </c>
      <c r="J63" s="116" t="e">
        <f t="shared" si="39"/>
        <v>#DIV/0!</v>
      </c>
      <c r="K63" s="116" t="e">
        <f t="shared" si="39"/>
        <v>#DIV/0!</v>
      </c>
      <c r="L63" s="116" t="e">
        <f t="shared" si="39"/>
        <v>#DIV/0!</v>
      </c>
      <c r="M63" s="116" t="e">
        <f t="shared" si="39"/>
        <v>#DIV/0!</v>
      </c>
      <c r="N63" s="116" t="e">
        <f t="shared" si="39"/>
        <v>#DIV/0!</v>
      </c>
      <c r="O63" s="116" t="e">
        <f t="shared" ref="O63" si="40">+O25/N24</f>
        <v>#DIV/0!</v>
      </c>
    </row>
    <row r="64" spans="1:17" ht="22.5" x14ac:dyDescent="0.2">
      <c r="A64" s="107">
        <v>12</v>
      </c>
      <c r="B64" s="162" t="s">
        <v>236</v>
      </c>
      <c r="C64" s="85"/>
      <c r="D64" s="116">
        <f t="shared" ref="D64:O64" si="41">+D27/D26</f>
        <v>0.83627348899733378</v>
      </c>
      <c r="E64" s="116">
        <f t="shared" ref="E64:N64" si="42">+E27/E26</f>
        <v>0.89999381838585202</v>
      </c>
      <c r="F64" s="116">
        <f t="shared" si="42"/>
        <v>0</v>
      </c>
      <c r="G64" s="116" t="e">
        <f t="shared" si="42"/>
        <v>#DIV/0!</v>
      </c>
      <c r="H64" s="116" t="e">
        <f t="shared" si="42"/>
        <v>#DIV/0!</v>
      </c>
      <c r="I64" s="116" t="e">
        <f t="shared" si="42"/>
        <v>#DIV/0!</v>
      </c>
      <c r="J64" s="116" t="e">
        <f t="shared" si="42"/>
        <v>#DIV/0!</v>
      </c>
      <c r="K64" s="116" t="e">
        <f t="shared" si="42"/>
        <v>#DIV/0!</v>
      </c>
      <c r="L64" s="116" t="e">
        <f t="shared" si="42"/>
        <v>#DIV/0!</v>
      </c>
      <c r="M64" s="116" t="e">
        <f t="shared" si="42"/>
        <v>#DIV/0!</v>
      </c>
      <c r="N64" s="116" t="e">
        <f t="shared" si="42"/>
        <v>#DIV/0!</v>
      </c>
      <c r="O64" s="116">
        <f t="shared" si="41"/>
        <v>0.82971500690566158</v>
      </c>
    </row>
    <row r="65" spans="1:15" ht="22.5" x14ac:dyDescent="0.2">
      <c r="A65" s="106">
        <v>13</v>
      </c>
      <c r="B65" s="161" t="s">
        <v>237</v>
      </c>
      <c r="C65" s="83"/>
      <c r="D65" s="116">
        <f t="shared" ref="D65:O65" si="43">+D29/D28</f>
        <v>0.83124861907128778</v>
      </c>
      <c r="E65" s="116">
        <f t="shared" ref="E65:N65" si="44">+E29/E28</f>
        <v>0.89782764640203816</v>
      </c>
      <c r="F65" s="116">
        <f t="shared" si="44"/>
        <v>0</v>
      </c>
      <c r="G65" s="116" t="e">
        <f t="shared" si="44"/>
        <v>#DIV/0!</v>
      </c>
      <c r="H65" s="116" t="e">
        <f t="shared" si="44"/>
        <v>#DIV/0!</v>
      </c>
      <c r="I65" s="116" t="e">
        <f t="shared" si="44"/>
        <v>#DIV/0!</v>
      </c>
      <c r="J65" s="116" t="e">
        <f t="shared" si="44"/>
        <v>#DIV/0!</v>
      </c>
      <c r="K65" s="116" t="e">
        <f t="shared" si="44"/>
        <v>#DIV/0!</v>
      </c>
      <c r="L65" s="116" t="e">
        <f t="shared" si="44"/>
        <v>#DIV/0!</v>
      </c>
      <c r="M65" s="116" t="e">
        <f t="shared" si="44"/>
        <v>#DIV/0!</v>
      </c>
      <c r="N65" s="116" t="e">
        <f t="shared" si="44"/>
        <v>#DIV/0!</v>
      </c>
      <c r="O65" s="116">
        <f t="shared" si="43"/>
        <v>0.82474974910086762</v>
      </c>
    </row>
    <row r="66" spans="1:15" ht="22.5" x14ac:dyDescent="0.2">
      <c r="A66" s="107">
        <v>14</v>
      </c>
      <c r="B66" s="162" t="s">
        <v>238</v>
      </c>
      <c r="C66" s="85"/>
      <c r="D66" s="116">
        <f t="shared" ref="D66:O66" si="45">+D31/D30</f>
        <v>0.8334320149575053</v>
      </c>
      <c r="E66" s="116">
        <f t="shared" ref="E66:N66" si="46">+E31/E30</f>
        <v>0.88509536010262513</v>
      </c>
      <c r="F66" s="116">
        <f t="shared" si="46"/>
        <v>0</v>
      </c>
      <c r="G66" s="116" t="e">
        <f t="shared" si="46"/>
        <v>#DIV/0!</v>
      </c>
      <c r="H66" s="116" t="e">
        <f t="shared" si="46"/>
        <v>#DIV/0!</v>
      </c>
      <c r="I66" s="116" t="e">
        <f t="shared" si="46"/>
        <v>#DIV/0!</v>
      </c>
      <c r="J66" s="116" t="e">
        <f t="shared" si="46"/>
        <v>#DIV/0!</v>
      </c>
      <c r="K66" s="116" t="e">
        <f t="shared" si="46"/>
        <v>#DIV/0!</v>
      </c>
      <c r="L66" s="116" t="e">
        <f t="shared" si="46"/>
        <v>#DIV/0!</v>
      </c>
      <c r="M66" s="116" t="e">
        <f t="shared" si="46"/>
        <v>#DIV/0!</v>
      </c>
      <c r="N66" s="116" t="e">
        <f t="shared" si="46"/>
        <v>#DIV/0!</v>
      </c>
      <c r="O66" s="116">
        <f t="shared" si="45"/>
        <v>0.83113296486371757</v>
      </c>
    </row>
    <row r="67" spans="1:15" x14ac:dyDescent="0.2">
      <c r="A67" s="106">
        <v>15</v>
      </c>
      <c r="B67" s="161" t="s">
        <v>239</v>
      </c>
      <c r="C67" s="83"/>
      <c r="D67" s="116">
        <f t="shared" ref="D67:O67" si="47">+D33/D32</f>
        <v>0.8343937909260698</v>
      </c>
      <c r="E67" s="116">
        <f t="shared" ref="E67:N67" si="48">+E33/E32</f>
        <v>0.89674880641147037</v>
      </c>
      <c r="F67" s="116">
        <f t="shared" si="48"/>
        <v>0</v>
      </c>
      <c r="G67" s="116" t="e">
        <f t="shared" si="48"/>
        <v>#DIV/0!</v>
      </c>
      <c r="H67" s="116" t="e">
        <f t="shared" si="48"/>
        <v>#DIV/0!</v>
      </c>
      <c r="I67" s="116" t="e">
        <f t="shared" si="48"/>
        <v>#DIV/0!</v>
      </c>
      <c r="J67" s="116" t="e">
        <f t="shared" si="48"/>
        <v>#DIV/0!</v>
      </c>
      <c r="K67" s="116" t="e">
        <f t="shared" si="48"/>
        <v>#DIV/0!</v>
      </c>
      <c r="L67" s="116" t="e">
        <f t="shared" si="48"/>
        <v>#DIV/0!</v>
      </c>
      <c r="M67" s="116" t="e">
        <f t="shared" si="48"/>
        <v>#DIV/0!</v>
      </c>
      <c r="N67" s="116" t="e">
        <f t="shared" si="48"/>
        <v>#DIV/0!</v>
      </c>
      <c r="O67" s="116">
        <f t="shared" si="47"/>
        <v>0.82874526373549495</v>
      </c>
    </row>
    <row r="68" spans="1:15" ht="22.5" hidden="1" x14ac:dyDescent="0.2">
      <c r="A68" s="72">
        <v>16</v>
      </c>
      <c r="B68" s="161" t="s">
        <v>240</v>
      </c>
      <c r="C68" s="83" t="s">
        <v>241</v>
      </c>
      <c r="D68" s="93">
        <f>+D13/D10</f>
        <v>0</v>
      </c>
      <c r="E68" s="93">
        <f>+E13/E10</f>
        <v>0</v>
      </c>
      <c r="F68" s="93">
        <f>+F13/F10</f>
        <v>0</v>
      </c>
      <c r="G68" s="93">
        <f>+G13/G10</f>
        <v>0</v>
      </c>
      <c r="H68" s="93" t="e">
        <f t="shared" ref="H68:O68" si="49">+H13/H10</f>
        <v>#DIV/0!</v>
      </c>
      <c r="I68" s="93" t="e">
        <f t="shared" si="49"/>
        <v>#DIV/0!</v>
      </c>
      <c r="J68" s="93" t="e">
        <f t="shared" si="49"/>
        <v>#DIV/0!</v>
      </c>
      <c r="K68" s="93" t="e">
        <f t="shared" si="49"/>
        <v>#DIV/0!</v>
      </c>
      <c r="L68" s="93" t="e">
        <f t="shared" si="49"/>
        <v>#DIV/0!</v>
      </c>
      <c r="M68" s="93" t="e">
        <f t="shared" si="49"/>
        <v>#DIV/0!</v>
      </c>
      <c r="N68" s="93" t="e">
        <f t="shared" si="49"/>
        <v>#DIV/0!</v>
      </c>
      <c r="O68" s="93">
        <f t="shared" si="49"/>
        <v>0</v>
      </c>
    </row>
    <row r="69" spans="1:15" hidden="1" x14ac:dyDescent="0.2">
      <c r="A69" s="67">
        <v>17</v>
      </c>
      <c r="B69" s="162" t="s">
        <v>242</v>
      </c>
      <c r="C69" s="85" t="s">
        <v>189</v>
      </c>
      <c r="D69" s="94">
        <f>+D11-D12-D13</f>
        <v>8244</v>
      </c>
      <c r="E69" s="94">
        <f>+E11-E12-E13</f>
        <v>11784</v>
      </c>
      <c r="F69" s="94">
        <f>+F11-F12-F13</f>
        <v>8843</v>
      </c>
      <c r="G69" s="94">
        <f>+G11-G12-G13</f>
        <v>16554</v>
      </c>
      <c r="H69" s="94">
        <f t="shared" ref="H69:O69" si="50">+H11-H12-H13</f>
        <v>0</v>
      </c>
      <c r="I69" s="94">
        <f t="shared" si="50"/>
        <v>0</v>
      </c>
      <c r="J69" s="94">
        <f t="shared" si="50"/>
        <v>0</v>
      </c>
      <c r="K69" s="94">
        <f t="shared" si="50"/>
        <v>0</v>
      </c>
      <c r="L69" s="94">
        <f t="shared" si="50"/>
        <v>0</v>
      </c>
      <c r="M69" s="94">
        <f t="shared" si="50"/>
        <v>0</v>
      </c>
      <c r="N69" s="94">
        <f t="shared" si="50"/>
        <v>0</v>
      </c>
      <c r="O69" s="94">
        <f t="shared" si="50"/>
        <v>8244</v>
      </c>
    </row>
    <row r="70" spans="1:15" x14ac:dyDescent="0.2">
      <c r="B70" s="160" t="s">
        <v>271</v>
      </c>
      <c r="D70" s="121">
        <f>+(D9-D10)/D6</f>
        <v>8.5518672199170123</v>
      </c>
      <c r="E70" s="121">
        <f t="shared" ref="E70:O70" si="51">+(E9-E10)/E6</f>
        <v>1.62993762993763</v>
      </c>
      <c r="F70" s="121">
        <f t="shared" si="51"/>
        <v>9.4195223260643814</v>
      </c>
      <c r="G70" s="121">
        <f t="shared" si="51"/>
        <v>-11.082474226804123</v>
      </c>
      <c r="H70" s="121" t="e">
        <f t="shared" si="51"/>
        <v>#DIV/0!</v>
      </c>
      <c r="I70" s="121" t="e">
        <f t="shared" si="51"/>
        <v>#DIV/0!</v>
      </c>
      <c r="J70" s="121" t="e">
        <f t="shared" si="51"/>
        <v>#DIV/0!</v>
      </c>
      <c r="K70" s="121" t="e">
        <f t="shared" si="51"/>
        <v>#DIV/0!</v>
      </c>
      <c r="L70" s="121" t="e">
        <f t="shared" si="51"/>
        <v>#DIV/0!</v>
      </c>
      <c r="M70" s="121" t="e">
        <f t="shared" si="51"/>
        <v>#DIV/0!</v>
      </c>
      <c r="N70" s="121" t="e">
        <f t="shared" si="51"/>
        <v>#DIV/0!</v>
      </c>
      <c r="O70" s="121">
        <f t="shared" si="51"/>
        <v>6.3150548354935196</v>
      </c>
    </row>
    <row r="71" spans="1:15" x14ac:dyDescent="0.2">
      <c r="B71" s="307" t="s">
        <v>243</v>
      </c>
      <c r="C71" s="307"/>
      <c r="D71" s="313"/>
      <c r="E71" s="313"/>
      <c r="F71" s="313"/>
      <c r="G71" s="313"/>
    </row>
    <row r="87" spans="2:4" x14ac:dyDescent="0.2">
      <c r="B87" s="307" t="s">
        <v>244</v>
      </c>
      <c r="C87" s="307"/>
    </row>
    <row r="94" spans="2:4" ht="14.25" customHeight="1" x14ac:dyDescent="0.2"/>
    <row r="96" spans="2:4" x14ac:dyDescent="0.2">
      <c r="C96" s="73"/>
      <c r="D96" s="75"/>
    </row>
    <row r="97" spans="2:4" x14ac:dyDescent="0.2">
      <c r="C97" s="73"/>
      <c r="D97" s="75"/>
    </row>
    <row r="98" spans="2:4" x14ac:dyDescent="0.2">
      <c r="B98" s="307"/>
      <c r="C98" s="307"/>
    </row>
  </sheetData>
  <mergeCells count="9">
    <mergeCell ref="B87:C87"/>
    <mergeCell ref="B98:C98"/>
    <mergeCell ref="A1:G1"/>
    <mergeCell ref="A2:B2"/>
    <mergeCell ref="A4:B4"/>
    <mergeCell ref="B71:C71"/>
    <mergeCell ref="D71:G71"/>
    <mergeCell ref="E2:F2"/>
    <mergeCell ref="G2:K2"/>
  </mergeCells>
  <printOptions horizontalCentered="1"/>
  <pageMargins left="0.15748031496062992" right="0.15748031496062992" top="1.0629921259842521" bottom="0.39370078740157483" header="0.55118110236220474" footer="0.19685039370078741"/>
  <pageSetup scale="80" orientation="portrait" r:id="rId1"/>
  <headerFooter alignWithMargins="0"/>
  <ignoredErrors>
    <ignoredError sqref="D32:D33 E34 E44 E43 D43:D48 E46:E49 F43:F48 N32:O33 E32:E33 I32:J33 H32:H33 G32:G33 F32:F33 K32:K33 M32:M33 L32:L33 O26:O31" unlockedFormula="1"/>
    <ignoredError sqref="D49" evalError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61"/>
  <sheetViews>
    <sheetView tabSelected="1" topLeftCell="A28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11" style="2" customWidth="1"/>
    <col min="4" max="4" width="10.140625" style="2" bestFit="1" customWidth="1"/>
    <col min="5" max="5" width="10.5703125" style="2" customWidth="1"/>
    <col min="6" max="6" width="9.140625" style="2" bestFit="1" customWidth="1"/>
    <col min="7" max="7" width="10.140625" style="2" bestFit="1" customWidth="1"/>
    <col min="8" max="8" width="9.140625" style="2" bestFit="1" customWidth="1"/>
    <col min="9" max="9" width="10.28515625" style="2" customWidth="1"/>
    <col min="10" max="10" width="10.42578125" style="2" customWidth="1"/>
    <col min="11" max="11" width="7.7109375" style="2" customWidth="1"/>
    <col min="12" max="12" width="8.28515625" style="2" customWidth="1"/>
    <col min="13" max="14" width="7.7109375" style="2" customWidth="1"/>
    <col min="15" max="15" width="9.140625" style="2" customWidth="1"/>
    <col min="16" max="16" width="7.28515625" style="2" customWidth="1"/>
    <col min="17" max="18" width="7.28515625" style="2" hidden="1" customWidth="1"/>
    <col min="19" max="19" width="7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3.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2.7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.7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Nataga'!$B8</f>
        <v>Eficiencia de Recaudo  Corriente</v>
      </c>
      <c r="G6" s="216"/>
      <c r="H6" s="217"/>
      <c r="I6" s="216"/>
      <c r="J6" s="216"/>
      <c r="K6" s="217"/>
      <c r="L6" s="216"/>
      <c r="M6" s="216"/>
      <c r="N6" s="216"/>
      <c r="O6" s="218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Nataga'!F8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Nataga'!A8</f>
        <v>IN01</v>
      </c>
      <c r="H8" s="222"/>
      <c r="I8" s="221"/>
      <c r="J8" s="221"/>
      <c r="K8" s="222"/>
      <c r="L8" s="221"/>
      <c r="M8" s="221"/>
      <c r="N8" s="221"/>
      <c r="O8" s="223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6.5" customHeight="1" thickBot="1" x14ac:dyDescent="0.3">
      <c r="A11" s="236" t="str">
        <f>'SET SP Nataga'!$C8</f>
        <v>Medir la eficiencia en el recaudo corriente de la prestación de los servicios pubicos domiciliarios de Aguas del Huila.</v>
      </c>
      <c r="B11" s="237"/>
      <c r="C11" s="237"/>
      <c r="D11" s="237"/>
      <c r="E11" s="14" t="s">
        <v>35</v>
      </c>
      <c r="F11" s="237" t="str">
        <f>'SET SP Nataga'!$D8</f>
        <v>(Valor  Recaudado  Corriente Usuario Final / Valor  Facturado Corriente Usuario Final) x100%</v>
      </c>
      <c r="G11" s="237"/>
      <c r="H11" s="12">
        <f>$O18</f>
        <v>0.85</v>
      </c>
      <c r="I11" s="13" t="str">
        <f>'SET SP Nataga'!$E8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">
        <v>275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>
        <f t="shared" ref="C17:N17" si="0">$O$17</f>
        <v>0.78</v>
      </c>
      <c r="D17" s="50">
        <f t="shared" si="0"/>
        <v>0.78</v>
      </c>
      <c r="E17" s="50">
        <f t="shared" si="0"/>
        <v>0.78</v>
      </c>
      <c r="F17" s="50">
        <f t="shared" si="0"/>
        <v>0.78</v>
      </c>
      <c r="G17" s="50">
        <f t="shared" si="0"/>
        <v>0.78</v>
      </c>
      <c r="H17" s="50">
        <f t="shared" si="0"/>
        <v>0.78</v>
      </c>
      <c r="I17" s="50">
        <f t="shared" si="0"/>
        <v>0.78</v>
      </c>
      <c r="J17" s="50">
        <f t="shared" si="0"/>
        <v>0.78</v>
      </c>
      <c r="K17" s="50">
        <f t="shared" si="0"/>
        <v>0.78</v>
      </c>
      <c r="L17" s="50">
        <f t="shared" si="0"/>
        <v>0.78</v>
      </c>
      <c r="M17" s="50">
        <f t="shared" si="0"/>
        <v>0.78</v>
      </c>
      <c r="N17" s="50">
        <f t="shared" si="0"/>
        <v>0.78</v>
      </c>
      <c r="O17" s="98">
        <f>'SET SP Nataga'!J8</f>
        <v>0.78</v>
      </c>
      <c r="V17" s="7"/>
      <c r="W17" s="8"/>
      <c r="X17" s="8"/>
    </row>
    <row r="18" spans="1:24" ht="17.25" customHeight="1" x14ac:dyDescent="0.25">
      <c r="A18" s="267" t="s">
        <v>276</v>
      </c>
      <c r="B18" s="268"/>
      <c r="C18" s="50">
        <f t="shared" ref="C18:N18" si="1">$O$18</f>
        <v>0.85</v>
      </c>
      <c r="D18" s="50">
        <f t="shared" si="1"/>
        <v>0.85</v>
      </c>
      <c r="E18" s="50">
        <f t="shared" si="1"/>
        <v>0.85</v>
      </c>
      <c r="F18" s="50">
        <f t="shared" si="1"/>
        <v>0.85</v>
      </c>
      <c r="G18" s="50">
        <f t="shared" si="1"/>
        <v>0.85</v>
      </c>
      <c r="H18" s="50">
        <f t="shared" si="1"/>
        <v>0.85</v>
      </c>
      <c r="I18" s="50">
        <f t="shared" si="1"/>
        <v>0.85</v>
      </c>
      <c r="J18" s="50">
        <f t="shared" si="1"/>
        <v>0.85</v>
      </c>
      <c r="K18" s="50">
        <f t="shared" si="1"/>
        <v>0.85</v>
      </c>
      <c r="L18" s="50">
        <f t="shared" si="1"/>
        <v>0.85</v>
      </c>
      <c r="M18" s="50">
        <f t="shared" si="1"/>
        <v>0.85</v>
      </c>
      <c r="N18" s="50">
        <f t="shared" si="1"/>
        <v>0.85</v>
      </c>
      <c r="O18" s="98">
        <f>'SET SP Nataga'!K8</f>
        <v>0.85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IF((C21),C20/C21,"-")</f>
        <v>0.82825448943155899</v>
      </c>
      <c r="D19" s="10">
        <f>IF((D21),D20/D21,"-")</f>
        <v>0.88498880027565574</v>
      </c>
      <c r="E19" s="10">
        <f>IF((E21),E20/E21,"-")</f>
        <v>0</v>
      </c>
      <c r="F19" s="10" t="str">
        <f>IF((F21),F20/F21,"-")</f>
        <v>-</v>
      </c>
      <c r="G19" s="10" t="str">
        <f t="shared" ref="G19:O19" si="2">IF((G21),G20/G21,"-")</f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0.82250755036544676</v>
      </c>
      <c r="O19" s="11">
        <f t="shared" si="2"/>
        <v>0.62560193032678557</v>
      </c>
      <c r="V19" s="7"/>
      <c r="W19" s="8"/>
      <c r="X19" s="8"/>
    </row>
    <row r="20" spans="1:24" ht="23.25" customHeight="1" x14ac:dyDescent="0.25">
      <c r="A20" s="273" t="s">
        <v>37</v>
      </c>
      <c r="B20" s="31" t="s">
        <v>129</v>
      </c>
      <c r="C20" s="54">
        <f>+NATAGA2020!D$15+NATAGA2020!D$17+NATAGA2020!D$19</f>
        <v>22878400</v>
      </c>
      <c r="D20" s="54">
        <f>+NATAGA2020!E$15+NATAGA2020!E$17+NATAGA2020!E$19</f>
        <v>29259082</v>
      </c>
      <c r="E20" s="54">
        <f>+NATAGA2020!F$15+NATAGA2020!F$17+NATAGA2020!F$19</f>
        <v>0</v>
      </c>
      <c r="F20" s="54">
        <f>+NATAGA2020!G$15+NATAGA2020!G$17+NATAGA2020!G$19</f>
        <v>0</v>
      </c>
      <c r="G20" s="54">
        <f>+NATAGA2020!H$15+NATAGA2020!H$17+NATAGA2020!H$19</f>
        <v>0</v>
      </c>
      <c r="H20" s="54">
        <f>+NATAGA2020!I$16+NATAGA2020!I$17+NATAGA2020!I$19</f>
        <v>0</v>
      </c>
      <c r="I20" s="54">
        <f>+NATAGA2020!J$15+NATAGA2020!J$17+NATAGA2020!J$19</f>
        <v>0</v>
      </c>
      <c r="J20" s="54">
        <f>+NATAGA2020!K$15+NATAGA2020!K$17+NATAGA2020!K$19</f>
        <v>0</v>
      </c>
      <c r="K20" s="54">
        <f>+NATAGA2020!L$15+NATAGA2020!L$17+NATAGA2020!L$19</f>
        <v>0</v>
      </c>
      <c r="L20" s="54">
        <f>+NATAGA2020!M$15+NATAGA2020!M$17+NATAGA2020!M$19</f>
        <v>0</v>
      </c>
      <c r="M20" s="54">
        <f>+NATAGA2020!N$15+NATAGA2020!N$17+NATAGA2020!N$19</f>
        <v>0</v>
      </c>
      <c r="N20" s="54">
        <f>+NATAGA2020!O$15+NATAGA2020!O$17+NATAGA2020!O$19</f>
        <v>22818850</v>
      </c>
      <c r="O20" s="55">
        <f>SUM(C20:N20)</f>
        <v>74956332</v>
      </c>
      <c r="V20" s="7"/>
      <c r="W20" s="8"/>
      <c r="X20" s="8"/>
    </row>
    <row r="21" spans="1:24" ht="17.25" customHeight="1" x14ac:dyDescent="0.25">
      <c r="A21" s="273"/>
      <c r="B21" s="31" t="s">
        <v>128</v>
      </c>
      <c r="C21" s="54">
        <f>+NATAGA2020!D$14+NATAGA2020!D$16+NATAGA2020!D$18</f>
        <v>27622428</v>
      </c>
      <c r="D21" s="54">
        <f>+NATAGA2020!E$14+NATAGA2020!E$16+NATAGA2020!E$18</f>
        <v>33061528</v>
      </c>
      <c r="E21" s="54">
        <f>+NATAGA2020!F$14+NATAGA2020!F$16+NATAGA2020!F$18</f>
        <v>31387755</v>
      </c>
      <c r="F21" s="54">
        <f>+NATAGA2020!G$14+NATAGA2020!G$16+NATAGA2020!G$18</f>
        <v>0</v>
      </c>
      <c r="G21" s="54">
        <f>+NATAGA2020!G$15+NATAGA2020!H$16+NATAGA2020!H$18</f>
        <v>0</v>
      </c>
      <c r="H21" s="54">
        <f>+NATAGA2020!I$14+NATAGA2020!I$16+NATAGA2020!I$18</f>
        <v>0</v>
      </c>
      <c r="I21" s="54">
        <f>+NATAGA2020!J$14+NATAGA2020!J$16+NATAGA2020!J$18</f>
        <v>0</v>
      </c>
      <c r="J21" s="54">
        <f>+NATAGA2020!K$14+NATAGA2020!K$16+NATAGA2020!K$18</f>
        <v>0</v>
      </c>
      <c r="K21" s="54">
        <f>+NATAGA2020!L$14+NATAGA2020!L$16+NATAGA2020!L$18</f>
        <v>0</v>
      </c>
      <c r="L21" s="54">
        <f>+NATAGA2020!M$14+NATAGA2020!M$16+NATAGA2020!M$18</f>
        <v>0</v>
      </c>
      <c r="M21" s="54">
        <f>+NATAGA2020!N$14+NATAGA2020!N$16+NATAGA2020!N$18</f>
        <v>0</v>
      </c>
      <c r="N21" s="54">
        <f>+NATAGA2020!O$14+NATAGA2020!O$16+NATAGA2020!O$18</f>
        <v>27743028</v>
      </c>
      <c r="O21" s="55">
        <f>SUM(C21:N21)</f>
        <v>119814739</v>
      </c>
      <c r="V21" s="7"/>
      <c r="W21" s="8"/>
      <c r="X21" s="8"/>
    </row>
    <row r="22" spans="1:24" ht="17.25" customHeight="1" x14ac:dyDescent="0.25">
      <c r="A22" s="273"/>
      <c r="B22" s="31"/>
      <c r="C22" s="48"/>
      <c r="D22" s="48"/>
      <c r="E22" s="48"/>
      <c r="F22" s="48"/>
      <c r="G22" s="48"/>
      <c r="H22" s="48"/>
      <c r="I22" s="48"/>
      <c r="J22" s="48"/>
      <c r="K22" s="3"/>
      <c r="L22" s="3"/>
      <c r="M22" s="3"/>
      <c r="N22" s="3"/>
      <c r="O22" s="55"/>
      <c r="V22" s="7"/>
      <c r="W22" s="8"/>
      <c r="X22" s="8"/>
    </row>
    <row r="23" spans="1:24" ht="18" customHeight="1" thickBot="1" x14ac:dyDescent="0.3">
      <c r="A23" s="274"/>
      <c r="B23" s="32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Nataga'!$G8</f>
        <v>Entre 80% y 100%</v>
      </c>
      <c r="E24" s="265"/>
      <c r="F24" s="265"/>
      <c r="G24" s="266"/>
      <c r="H24" s="264" t="str">
        <f>'SET SP Nataga'!$H8</f>
        <v>Entre 60% y 79%</v>
      </c>
      <c r="I24" s="265"/>
      <c r="J24" s="265"/>
      <c r="K24" s="266"/>
      <c r="L24" s="264" t="str">
        <f>'SET SP Nataga'!$I8</f>
        <v>Menor al 59%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customHeight="1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8" customHeight="1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21" customHeight="1" x14ac:dyDescent="0.25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21" customHeight="1" thickBot="1" x14ac:dyDescent="0.3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4"/>
      <c r="O43" s="195"/>
    </row>
    <row r="44" spans="1:17" ht="24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0.85</v>
      </c>
    </row>
    <row r="61" spans="17:17" x14ac:dyDescent="0.25">
      <c r="Q61" s="9">
        <v>0.9</v>
      </c>
    </row>
  </sheetData>
  <mergeCells count="76">
    <mergeCell ref="A44:O44"/>
    <mergeCell ref="A27:O27"/>
    <mergeCell ref="D24:G24"/>
    <mergeCell ref="A17:B17"/>
    <mergeCell ref="L24:O24"/>
    <mergeCell ref="H24:K24"/>
    <mergeCell ref="A18:B18"/>
    <mergeCell ref="A19:B19"/>
    <mergeCell ref="A20:A23"/>
    <mergeCell ref="A24:C25"/>
    <mergeCell ref="D25:G25"/>
    <mergeCell ref="H25:K25"/>
    <mergeCell ref="A41:M41"/>
    <mergeCell ref="N41:O41"/>
    <mergeCell ref="A42:M42"/>
    <mergeCell ref="N42:O42"/>
    <mergeCell ref="A11:D11"/>
    <mergeCell ref="F11:G11"/>
    <mergeCell ref="J11:O11"/>
    <mergeCell ref="L25:O25"/>
    <mergeCell ref="A26:O26"/>
    <mergeCell ref="A12:O12"/>
    <mergeCell ref="A13:O13"/>
    <mergeCell ref="A14:O14"/>
    <mergeCell ref="A15:O15"/>
    <mergeCell ref="A16:B16"/>
    <mergeCell ref="J9:K10"/>
    <mergeCell ref="L9:O9"/>
    <mergeCell ref="L10:M10"/>
    <mergeCell ref="A7:E7"/>
    <mergeCell ref="N10:O10"/>
    <mergeCell ref="F7:O7"/>
    <mergeCell ref="N38:O38"/>
    <mergeCell ref="N39:O39"/>
    <mergeCell ref="D1:O1"/>
    <mergeCell ref="D4:O4"/>
    <mergeCell ref="A1:C4"/>
    <mergeCell ref="A5:E5"/>
    <mergeCell ref="F5:O5"/>
    <mergeCell ref="A6:E6"/>
    <mergeCell ref="F6:O6"/>
    <mergeCell ref="A8:E8"/>
    <mergeCell ref="G8:O8"/>
    <mergeCell ref="A9:D10"/>
    <mergeCell ref="E9:E10"/>
    <mergeCell ref="F9:G10"/>
    <mergeCell ref="H9:H10"/>
    <mergeCell ref="I9:I10"/>
    <mergeCell ref="N33:O33"/>
    <mergeCell ref="N34:O34"/>
    <mergeCell ref="N35:O35"/>
    <mergeCell ref="N36:O36"/>
    <mergeCell ref="N37:O37"/>
    <mergeCell ref="N31:O31"/>
    <mergeCell ref="N32:O32"/>
    <mergeCell ref="A28:M28"/>
    <mergeCell ref="N28:O28"/>
    <mergeCell ref="A29:M29"/>
    <mergeCell ref="N29:O29"/>
    <mergeCell ref="N30:O30"/>
    <mergeCell ref="D2:O2"/>
    <mergeCell ref="D3:O3"/>
    <mergeCell ref="A43:M43"/>
    <mergeCell ref="N43:O43"/>
    <mergeCell ref="N40:O40"/>
    <mergeCell ref="A30:M30"/>
    <mergeCell ref="A31:M31"/>
    <mergeCell ref="A32:M32"/>
    <mergeCell ref="A38:M38"/>
    <mergeCell ref="A39:M39"/>
    <mergeCell ref="A40:M40"/>
    <mergeCell ref="A33:M33"/>
    <mergeCell ref="A34:M34"/>
    <mergeCell ref="A35:M35"/>
    <mergeCell ref="A36:M36"/>
    <mergeCell ref="A37:M37"/>
  </mergeCells>
  <dataValidations disablePrompts="1" count="1">
    <dataValidation type="list" allowBlank="1" showInputMessage="1" showErrorMessage="1" sqref="J11:O11" xr:uid="{00000000-0002-0000-01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61"/>
  <sheetViews>
    <sheetView topLeftCell="A11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10.28515625" style="2" customWidth="1"/>
    <col min="4" max="4" width="10.140625" style="2" bestFit="1" customWidth="1"/>
    <col min="5" max="5" width="10" style="2" customWidth="1"/>
    <col min="6" max="8" width="10.140625" style="2" bestFit="1" customWidth="1"/>
    <col min="9" max="9" width="10.140625" style="2" customWidth="1"/>
    <col min="10" max="10" width="11" style="2" customWidth="1"/>
    <col min="11" max="11" width="7.7109375" style="2" customWidth="1"/>
    <col min="12" max="12" width="8.28515625" style="2" customWidth="1"/>
    <col min="13" max="14" width="7.7109375" style="2" customWidth="1"/>
    <col min="15" max="15" width="9.85546875" style="2" customWidth="1"/>
    <col min="16" max="16" width="7.42578125" style="2" customWidth="1"/>
    <col min="17" max="18" width="7.42578125" style="2" hidden="1" customWidth="1"/>
    <col min="19" max="19" width="7.42578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6.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.7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Nataga'!$B9</f>
        <v>Eficiencia de Recaudo Total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Nataga'!F9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Nataga'!A9</f>
        <v>IN02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5.75" customHeight="1" thickBot="1" x14ac:dyDescent="0.3">
      <c r="A11" s="236" t="str">
        <f>'SET SP Nataga'!$C9</f>
        <v>Medir la eficiencia en el recaudo total de la prestación de los servicios pubicos domiciliarios de Aguas del Huila.</v>
      </c>
      <c r="B11" s="237"/>
      <c r="C11" s="237"/>
      <c r="D11" s="237"/>
      <c r="E11" s="14" t="s">
        <v>35</v>
      </c>
      <c r="F11" s="237" t="str">
        <f>'SET SP Nataga'!$D9</f>
        <v>(Valor  Recaudado  Total Usuario Final / Valor  total Facturado usuario Final) x100%</v>
      </c>
      <c r="G11" s="237"/>
      <c r="H11" s="12">
        <f>$O18</f>
        <v>0.75</v>
      </c>
      <c r="I11" s="13" t="str">
        <f>'SET SP Nataga'!$E9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35.2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tr">
        <f>+'01'!A15:O15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99">
        <f t="shared" ref="C17:N17" si="0">$O$17</f>
        <v>0.64</v>
      </c>
      <c r="D17" s="99">
        <f t="shared" si="0"/>
        <v>0.64</v>
      </c>
      <c r="E17" s="99">
        <f t="shared" si="0"/>
        <v>0.64</v>
      </c>
      <c r="F17" s="99">
        <f t="shared" si="0"/>
        <v>0.64</v>
      </c>
      <c r="G17" s="99">
        <f t="shared" si="0"/>
        <v>0.64</v>
      </c>
      <c r="H17" s="99">
        <f t="shared" si="0"/>
        <v>0.64</v>
      </c>
      <c r="I17" s="99">
        <f t="shared" si="0"/>
        <v>0.64</v>
      </c>
      <c r="J17" s="99">
        <f t="shared" si="0"/>
        <v>0.64</v>
      </c>
      <c r="K17" s="99">
        <f t="shared" si="0"/>
        <v>0.64</v>
      </c>
      <c r="L17" s="99">
        <f t="shared" si="0"/>
        <v>0.64</v>
      </c>
      <c r="M17" s="99">
        <f t="shared" si="0"/>
        <v>0.64</v>
      </c>
      <c r="N17" s="99">
        <f t="shared" si="0"/>
        <v>0.64</v>
      </c>
      <c r="O17" s="98">
        <f>'SET SP Nataga'!J9</f>
        <v>0.64</v>
      </c>
      <c r="V17" s="7"/>
      <c r="W17" s="8"/>
      <c r="X17" s="8"/>
    </row>
    <row r="18" spans="1:24" ht="17.25" customHeight="1" x14ac:dyDescent="0.25">
      <c r="A18" s="267" t="str">
        <f>+'01'!A18:B18</f>
        <v>META  AÑO 2025</v>
      </c>
      <c r="B18" s="268"/>
      <c r="C18" s="99">
        <f t="shared" ref="C18:N18" si="1">$O$18</f>
        <v>0.75</v>
      </c>
      <c r="D18" s="99">
        <f t="shared" si="1"/>
        <v>0.75</v>
      </c>
      <c r="E18" s="99">
        <f t="shared" si="1"/>
        <v>0.75</v>
      </c>
      <c r="F18" s="99">
        <f t="shared" si="1"/>
        <v>0.75</v>
      </c>
      <c r="G18" s="99">
        <f t="shared" si="1"/>
        <v>0.75</v>
      </c>
      <c r="H18" s="99">
        <f t="shared" si="1"/>
        <v>0.75</v>
      </c>
      <c r="I18" s="99">
        <f t="shared" si="1"/>
        <v>0.75</v>
      </c>
      <c r="J18" s="99">
        <f t="shared" si="1"/>
        <v>0.75</v>
      </c>
      <c r="K18" s="99">
        <f t="shared" si="1"/>
        <v>0.75</v>
      </c>
      <c r="L18" s="99">
        <f t="shared" si="1"/>
        <v>0.75</v>
      </c>
      <c r="M18" s="99">
        <f t="shared" si="1"/>
        <v>0.75</v>
      </c>
      <c r="N18" s="99">
        <f t="shared" si="1"/>
        <v>0.75</v>
      </c>
      <c r="O18" s="98">
        <f>'SET SP Nataga'!K9</f>
        <v>0.75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IF((C21),C20/C21,"-")</f>
        <v>0.8343937909260698</v>
      </c>
      <c r="D19" s="10">
        <f>IF((D21),D20/D21,"-")</f>
        <v>0.89674880641147037</v>
      </c>
      <c r="E19" s="10">
        <f>IF((E21),E20/E21,"-")</f>
        <v>0</v>
      </c>
      <c r="F19" s="10" t="str">
        <f>IF((F21),F20/F21,"-")</f>
        <v>-</v>
      </c>
      <c r="G19" s="10" t="str">
        <f t="shared" ref="G19:O19" si="2">IF((G21),G20/G21,"-")</f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0.82874526373549495</v>
      </c>
      <c r="O19" s="11">
        <f t="shared" si="2"/>
        <v>0.64541392850239698</v>
      </c>
      <c r="V19" s="7"/>
      <c r="W19" s="8"/>
      <c r="X19" s="8"/>
    </row>
    <row r="20" spans="1:24" ht="18.75" customHeight="1" x14ac:dyDescent="0.25">
      <c r="A20" s="273" t="s">
        <v>37</v>
      </c>
      <c r="B20" s="31" t="s">
        <v>131</v>
      </c>
      <c r="C20" s="54">
        <f>+NATAGA2020!D$27+NATAGA2020!D$29+NATAGA2020!D$31</f>
        <v>27233300</v>
      </c>
      <c r="D20" s="54">
        <f>+NATAGA2020!E$27+NATAGA2020!E$29+NATAGA2020!E$31</f>
        <v>34446950</v>
      </c>
      <c r="E20" s="54">
        <f>+NATAGA2020!F$27+NATAGA2020!F$29+NATAGA2020!F$31</f>
        <v>0</v>
      </c>
      <c r="F20" s="54">
        <f>+NATAGA2020!G$27+NATAGA2020!G$29+NATAGA2020!G$31</f>
        <v>0</v>
      </c>
      <c r="G20" s="54">
        <f>+NATAGA2020!H$27+NATAGA2020!H$29+NATAGA2020!H$31</f>
        <v>0</v>
      </c>
      <c r="H20" s="54">
        <f>+NATAGA2020!I$27+NATAGA2020!I$29+NATAGA2020!I$31</f>
        <v>0</v>
      </c>
      <c r="I20" s="54">
        <f>+NATAGA2020!J$27+NATAGA2020!J$29+NATAGA2020!J$31</f>
        <v>0</v>
      </c>
      <c r="J20" s="54">
        <f>+NATAGA2020!K$27+NATAGA2020!K$29+NATAGA2020!K$31</f>
        <v>0</v>
      </c>
      <c r="K20" s="54">
        <f>+NATAGA2020!L$27+NATAGA2020!L$29+NATAGA2020!L$31</f>
        <v>0</v>
      </c>
      <c r="L20" s="54">
        <f>+NATAGA2020!M$27+NATAGA2020!M$29+NATAGA2020!M$31</f>
        <v>0</v>
      </c>
      <c r="M20" s="54">
        <f>+NATAGA2020!N$27+NATAGA2020!N$29+NATAGA2020!N$31</f>
        <v>0</v>
      </c>
      <c r="N20" s="54">
        <f>+NATAGA2020!O$27+NATAGA2020!O$29+NATAGA2020!O$31</f>
        <v>27173750</v>
      </c>
      <c r="O20" s="21">
        <f>SUM(C20:N20)</f>
        <v>88854000</v>
      </c>
      <c r="V20" s="7"/>
      <c r="W20" s="8"/>
      <c r="X20" s="8"/>
    </row>
    <row r="21" spans="1:24" ht="15.75" customHeight="1" x14ac:dyDescent="0.25">
      <c r="A21" s="273"/>
      <c r="B21" s="31" t="s">
        <v>130</v>
      </c>
      <c r="C21" s="54">
        <f>+NATAGA2020!D$26+NATAGA2020!D$28+NATAGA2020!D$30</f>
        <v>32638426</v>
      </c>
      <c r="D21" s="54">
        <f>+NATAGA2020!E$26+NATAGA2020!E$28+NATAGA2020!E$30</f>
        <v>38413154</v>
      </c>
      <c r="E21" s="54">
        <f>+NATAGA2020!F$26+NATAGA2020!F$28+NATAGA2020!F$30</f>
        <v>33829184</v>
      </c>
      <c r="F21" s="54">
        <f>+NATAGA2020!G$26+NATAGA2020!G$28+NATAGA2020!G$30</f>
        <v>0</v>
      </c>
      <c r="G21" s="54">
        <f>+NATAGA2020!H$26+NATAGA2020!H$28+NATAGA2020!H$30</f>
        <v>0</v>
      </c>
      <c r="H21" s="54">
        <f>+NATAGA2020!I$26+NATAGA2020!I$28+NATAGA2020!I$30</f>
        <v>0</v>
      </c>
      <c r="I21" s="54">
        <f>+NATAGA2020!J$26+NATAGA2020!J$28+NATAGA2020!J$30</f>
        <v>0</v>
      </c>
      <c r="J21" s="54">
        <f>+NATAGA2020!K$26+NATAGA2020!K$28+NATAGA2020!K$30</f>
        <v>0</v>
      </c>
      <c r="K21" s="54">
        <f>+NATAGA2020!L$26+NATAGA2020!L$28+NATAGA2020!L$30</f>
        <v>0</v>
      </c>
      <c r="L21" s="54">
        <f>+NATAGA2020!M$26+NATAGA2020!M$28+NATAGA2020!M$30</f>
        <v>0</v>
      </c>
      <c r="M21" s="54">
        <f>+NATAGA2020!N$26+NATAGA2020!N$28+NATAGA2020!N$30</f>
        <v>0</v>
      </c>
      <c r="N21" s="54">
        <f>+NATAGA2020!O$26+NATAGA2020!O$28+NATAGA2020!O$30</f>
        <v>32789026</v>
      </c>
      <c r="O21" s="21">
        <f>SUM(C21:N21)</f>
        <v>137669790</v>
      </c>
      <c r="V21" s="7"/>
      <c r="W21" s="8"/>
      <c r="X21" s="8"/>
    </row>
    <row r="22" spans="1:24" ht="17.25" customHeight="1" x14ac:dyDescent="0.25">
      <c r="A22" s="273"/>
      <c r="B22" s="95"/>
      <c r="C22" s="20"/>
      <c r="D22" s="20"/>
      <c r="E22" s="20"/>
      <c r="F22" s="20"/>
      <c r="G22" s="20"/>
      <c r="H22" s="20"/>
      <c r="I22" s="20"/>
      <c r="J22" s="20"/>
      <c r="K22" s="3"/>
      <c r="L22" s="3"/>
      <c r="M22" s="3"/>
      <c r="N22" s="3"/>
      <c r="O22" s="21"/>
      <c r="V22" s="7"/>
      <c r="W22" s="8"/>
      <c r="X22" s="8"/>
    </row>
    <row r="23" spans="1:24" ht="18" customHeight="1" thickBot="1" x14ac:dyDescent="0.3">
      <c r="A23" s="274"/>
      <c r="B23" s="97" t="s">
        <v>3</v>
      </c>
      <c r="C23" s="100"/>
      <c r="D23" s="100"/>
      <c r="E23" s="100"/>
      <c r="F23" s="100"/>
      <c r="G23" s="100"/>
      <c r="H23" s="100"/>
      <c r="I23" s="100"/>
      <c r="J23" s="100"/>
      <c r="K23" s="4"/>
      <c r="L23" s="4"/>
      <c r="M23" s="4"/>
      <c r="N23" s="4"/>
      <c r="O23" s="101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90" t="str">
        <f>'SET SP Nataga'!$G9</f>
        <v>Entre 71% y 100%</v>
      </c>
      <c r="E24" s="291"/>
      <c r="F24" s="291"/>
      <c r="G24" s="292"/>
      <c r="H24" s="290" t="str">
        <f>'SET SP Nataga'!$H9</f>
        <v>Entre 60% y 70%</v>
      </c>
      <c r="I24" s="291"/>
      <c r="J24" s="291"/>
      <c r="K24" s="292"/>
      <c r="L24" s="283" t="str">
        <f>'SET SP Nataga'!$I9</f>
        <v>Menor al 59%</v>
      </c>
      <c r="M24" s="284"/>
      <c r="N24" s="284"/>
      <c r="O24" s="285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87"/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9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24" customHeight="1" x14ac:dyDescent="0.25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22.5" customHeight="1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6.7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35">
        <v>0.73</v>
      </c>
    </row>
    <row r="61" spans="17:17" x14ac:dyDescent="0.25">
      <c r="Q61" s="35">
        <v>0.75</v>
      </c>
    </row>
  </sheetData>
  <mergeCells count="76">
    <mergeCell ref="A44:O44"/>
    <mergeCell ref="A27:O27"/>
    <mergeCell ref="H24:K24"/>
    <mergeCell ref="A24:C25"/>
    <mergeCell ref="D24:G24"/>
    <mergeCell ref="A26:O26"/>
    <mergeCell ref="A43:M43"/>
    <mergeCell ref="N43:O43"/>
    <mergeCell ref="A28:M28"/>
    <mergeCell ref="N28:O28"/>
    <mergeCell ref="N41:O41"/>
    <mergeCell ref="A41:M41"/>
    <mergeCell ref="N42:O42"/>
    <mergeCell ref="A42:M42"/>
    <mergeCell ref="A29:M29"/>
    <mergeCell ref="N29:O29"/>
    <mergeCell ref="L25:O25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34:M34"/>
    <mergeCell ref="A35:M35"/>
    <mergeCell ref="A30:M30"/>
    <mergeCell ref="N30:O30"/>
    <mergeCell ref="D1:O1"/>
    <mergeCell ref="D4:O4"/>
    <mergeCell ref="A5:E5"/>
    <mergeCell ref="F5:O5"/>
    <mergeCell ref="A6:E6"/>
    <mergeCell ref="F6:O6"/>
    <mergeCell ref="A1:C4"/>
    <mergeCell ref="N10:O10"/>
    <mergeCell ref="A11:D11"/>
    <mergeCell ref="F11:G11"/>
    <mergeCell ref="L24:O24"/>
    <mergeCell ref="D25:G25"/>
    <mergeCell ref="N39:O39"/>
    <mergeCell ref="N40:O40"/>
    <mergeCell ref="A36:M36"/>
    <mergeCell ref="A37:M37"/>
    <mergeCell ref="A38:M38"/>
    <mergeCell ref="A39:M39"/>
    <mergeCell ref="A40:M40"/>
    <mergeCell ref="N34:O34"/>
    <mergeCell ref="N35:O35"/>
    <mergeCell ref="N36:O36"/>
    <mergeCell ref="N37:O37"/>
    <mergeCell ref="N38:O38"/>
    <mergeCell ref="D2:O2"/>
    <mergeCell ref="D3:O3"/>
    <mergeCell ref="N31:O31"/>
    <mergeCell ref="N32:O32"/>
    <mergeCell ref="N33:O33"/>
    <mergeCell ref="A31:M31"/>
    <mergeCell ref="A32:M32"/>
    <mergeCell ref="A33:M33"/>
    <mergeCell ref="H25:K25"/>
    <mergeCell ref="A13:O13"/>
    <mergeCell ref="A16:B16"/>
    <mergeCell ref="I9:I10"/>
    <mergeCell ref="J9:K10"/>
    <mergeCell ref="L9:O9"/>
    <mergeCell ref="L10:M10"/>
    <mergeCell ref="H9:H10"/>
  </mergeCells>
  <dataValidations disablePrompts="1" count="1">
    <dataValidation type="list" allowBlank="1" showInputMessage="1" showErrorMessage="1" sqref="J11:O11" xr:uid="{00000000-0002-0000-02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X62"/>
  <sheetViews>
    <sheetView topLeftCell="A6"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" style="2" bestFit="1" customWidth="1"/>
    <col min="4" max="4" width="10.140625" style="2" customWidth="1"/>
    <col min="5" max="5" width="10.7109375" style="2" customWidth="1"/>
    <col min="6" max="6" width="8.85546875" style="2" customWidth="1"/>
    <col min="7" max="8" width="9" style="2" bestFit="1" customWidth="1"/>
    <col min="9" max="9" width="9.5703125" style="2" customWidth="1"/>
    <col min="10" max="10" width="9" style="2" bestFit="1" customWidth="1"/>
    <col min="11" max="11" width="7.7109375" style="2" customWidth="1"/>
    <col min="12" max="12" width="8.28515625" style="2" customWidth="1"/>
    <col min="13" max="14" width="7.7109375" style="2" customWidth="1"/>
    <col min="15" max="15" width="10" style="2" bestFit="1" customWidth="1"/>
    <col min="16" max="16" width="7.28515625" style="2" customWidth="1"/>
    <col min="17" max="18" width="7.28515625" style="2" hidden="1" customWidth="1"/>
    <col min="19" max="19" width="7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2.7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6.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3.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Nataga'!$B10</f>
        <v xml:space="preserve">Rotación de Cartera 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Nataga'!F10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Nataga'!A10</f>
        <v>IN03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57.75" customHeight="1" thickBot="1" x14ac:dyDescent="0.3">
      <c r="A11" s="236" t="str">
        <f>'SET SP Nataga'!$C10</f>
        <v>Controlar la cartera existentes de servicios publicos por edades con el fin de evaluar la rotación de la misma.</v>
      </c>
      <c r="B11" s="237"/>
      <c r="C11" s="237"/>
      <c r="D11" s="237"/>
      <c r="E11" s="14" t="s">
        <v>111</v>
      </c>
      <c r="F11" s="237" t="str">
        <f>'SET SP Nataga'!$D10</f>
        <v>(Cuentas por Cobrar  a particulares y/o oficiales /  Valor Facturado Usuarios particulares y/o oficiales) x 365</v>
      </c>
      <c r="G11" s="237"/>
      <c r="H11" s="49">
        <f>$O18</f>
        <v>15</v>
      </c>
      <c r="I11" s="13" t="str">
        <f>'SET SP Nataga'!$E10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tr">
        <f>+'02'!A15:O15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20">
        <f t="shared" ref="C17:N17" si="0">$O$17</f>
        <v>16</v>
      </c>
      <c r="D17" s="20">
        <f t="shared" si="0"/>
        <v>16</v>
      </c>
      <c r="E17" s="20">
        <f t="shared" si="0"/>
        <v>16</v>
      </c>
      <c r="F17" s="20">
        <f t="shared" si="0"/>
        <v>16</v>
      </c>
      <c r="G17" s="20">
        <f t="shared" si="0"/>
        <v>16</v>
      </c>
      <c r="H17" s="20">
        <f t="shared" si="0"/>
        <v>16</v>
      </c>
      <c r="I17" s="20">
        <f t="shared" si="0"/>
        <v>16</v>
      </c>
      <c r="J17" s="20">
        <f t="shared" si="0"/>
        <v>16</v>
      </c>
      <c r="K17" s="20">
        <f t="shared" si="0"/>
        <v>16</v>
      </c>
      <c r="L17" s="20">
        <f t="shared" si="0"/>
        <v>16</v>
      </c>
      <c r="M17" s="20">
        <f t="shared" si="0"/>
        <v>16</v>
      </c>
      <c r="N17" s="20">
        <f t="shared" si="0"/>
        <v>16</v>
      </c>
      <c r="O17" s="102">
        <f>'SET SP Nataga'!J10</f>
        <v>16</v>
      </c>
      <c r="V17" s="7"/>
      <c r="W17" s="8"/>
      <c r="X17" s="8"/>
    </row>
    <row r="18" spans="1:24" ht="17.25" customHeight="1" x14ac:dyDescent="0.25">
      <c r="A18" s="267" t="str">
        <f>+'02'!A18:B18</f>
        <v>META  AÑO 2025</v>
      </c>
      <c r="B18" s="268"/>
      <c r="C18" s="20">
        <f t="shared" ref="C18:N18" si="1">$O$18</f>
        <v>15</v>
      </c>
      <c r="D18" s="20">
        <f t="shared" si="1"/>
        <v>15</v>
      </c>
      <c r="E18" s="20">
        <f t="shared" si="1"/>
        <v>15</v>
      </c>
      <c r="F18" s="20">
        <f t="shared" si="1"/>
        <v>15</v>
      </c>
      <c r="G18" s="20">
        <f t="shared" si="1"/>
        <v>15</v>
      </c>
      <c r="H18" s="20">
        <f t="shared" si="1"/>
        <v>15</v>
      </c>
      <c r="I18" s="20">
        <f t="shared" si="1"/>
        <v>15</v>
      </c>
      <c r="J18" s="20">
        <f t="shared" si="1"/>
        <v>15</v>
      </c>
      <c r="K18" s="20">
        <f t="shared" si="1"/>
        <v>15</v>
      </c>
      <c r="L18" s="20">
        <f t="shared" si="1"/>
        <v>15</v>
      </c>
      <c r="M18" s="20">
        <f t="shared" si="1"/>
        <v>15</v>
      </c>
      <c r="N18" s="20">
        <f t="shared" si="1"/>
        <v>15</v>
      </c>
      <c r="O18" s="102">
        <f>'SET SP Nataga'!K10</f>
        <v>15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45">
        <f>IF((C22),(C20/C22)*30,"-")</f>
        <v>5.8703666455389074</v>
      </c>
      <c r="D19" s="45">
        <f>IF((D22),(D20/D22)*60,"-")</f>
        <v>3.9215017557523772</v>
      </c>
      <c r="E19" s="45">
        <f>IF((E22),(E20/E22)*90,"-")</f>
        <v>33.06799153542395</v>
      </c>
      <c r="F19" s="45">
        <f>IF((F22),(F20/F22)*120,"-")</f>
        <v>0</v>
      </c>
      <c r="G19" s="45">
        <f>IF((G22),(G20/G22)*150,"-")</f>
        <v>0</v>
      </c>
      <c r="H19" s="45">
        <f>IF((H22),(H20/H22)*180,"-")</f>
        <v>0</v>
      </c>
      <c r="I19" s="45">
        <f>IF((I22),(I20/I22)*220,"-")</f>
        <v>0</v>
      </c>
      <c r="J19" s="45">
        <f>IF((J22),(J20/J22)*250,"-")</f>
        <v>0</v>
      </c>
      <c r="K19" s="45">
        <f>IF((K22),(K20/K22)*280,"-")</f>
        <v>0</v>
      </c>
      <c r="L19" s="45">
        <f>IF((L22),(L20/L22)*310,"-")</f>
        <v>0</v>
      </c>
      <c r="M19" s="45">
        <f>IF((M22),(M20/M22)*330,"-")</f>
        <v>0</v>
      </c>
      <c r="N19" s="45">
        <f>IF((N22),(N20/N22)*365,"-")</f>
        <v>17.106207108626258</v>
      </c>
      <c r="O19" s="46">
        <f>IF((O22),(O20/O22)*365,"-")</f>
        <v>12.392578950574688</v>
      </c>
      <c r="V19" s="7"/>
      <c r="W19" s="8"/>
      <c r="X19" s="8"/>
    </row>
    <row r="20" spans="1:24" ht="24.75" customHeight="1" x14ac:dyDescent="0.25">
      <c r="A20" s="273" t="s">
        <v>37</v>
      </c>
      <c r="B20" s="31" t="s">
        <v>132</v>
      </c>
      <c r="C20" s="54">
        <f>+NATAGA2020!D37</f>
        <v>5405126</v>
      </c>
      <c r="D20" s="54">
        <f>+NATAGA2020!E37</f>
        <v>3966204</v>
      </c>
      <c r="E20" s="54">
        <f>+NATAGA2020!F37</f>
        <v>33829184</v>
      </c>
      <c r="F20" s="54">
        <f>+NATAGA2020!G37</f>
        <v>0</v>
      </c>
      <c r="G20" s="54">
        <f>+NATAGA2020!H37</f>
        <v>0</v>
      </c>
      <c r="H20" s="54">
        <f>+NATAGA2020!I37</f>
        <v>0</v>
      </c>
      <c r="I20" s="54">
        <f>+NATAGA2020!J37</f>
        <v>0</v>
      </c>
      <c r="J20" s="54">
        <f>+NATAGA2020!K37</f>
        <v>0</v>
      </c>
      <c r="K20" s="54">
        <f>+NATAGA2020!L37</f>
        <v>0</v>
      </c>
      <c r="L20" s="54">
        <f>+NATAGA2020!M37</f>
        <v>0</v>
      </c>
      <c r="M20" s="54">
        <f>+NATAGA2020!N37</f>
        <v>0</v>
      </c>
      <c r="N20" s="54">
        <f>+NATAGA2020!O37</f>
        <v>5615276</v>
      </c>
      <c r="O20" s="56">
        <f>AVERAGE(C20:N20)</f>
        <v>4067982.5</v>
      </c>
      <c r="V20" s="7"/>
      <c r="W20" s="8"/>
      <c r="X20" s="8"/>
    </row>
    <row r="21" spans="1:24" ht="24.75" customHeight="1" x14ac:dyDescent="0.25">
      <c r="A21" s="273"/>
      <c r="B21" s="31" t="s">
        <v>245</v>
      </c>
      <c r="C21" s="54">
        <f>'01'!C21</f>
        <v>27622428</v>
      </c>
      <c r="D21" s="54">
        <f>'01'!D21</f>
        <v>33061528</v>
      </c>
      <c r="E21" s="54">
        <f>'01'!E21</f>
        <v>31387755</v>
      </c>
      <c r="F21" s="54">
        <f>'01'!F21</f>
        <v>0</v>
      </c>
      <c r="G21" s="54">
        <f>'01'!G21</f>
        <v>0</v>
      </c>
      <c r="H21" s="54">
        <f>'01'!H21</f>
        <v>0</v>
      </c>
      <c r="I21" s="54">
        <f>'01'!I21</f>
        <v>0</v>
      </c>
      <c r="J21" s="54">
        <f>'01'!J21</f>
        <v>0</v>
      </c>
      <c r="K21" s="54">
        <f>'01'!K21</f>
        <v>0</v>
      </c>
      <c r="L21" s="54">
        <f>'01'!L21</f>
        <v>0</v>
      </c>
      <c r="M21" s="54">
        <f>'01'!M21</f>
        <v>0</v>
      </c>
      <c r="N21" s="54">
        <f>'01'!N21</f>
        <v>27743028</v>
      </c>
      <c r="O21" s="55">
        <f>SUM(C21:N21)</f>
        <v>119814739</v>
      </c>
      <c r="V21" s="7"/>
      <c r="W21" s="8"/>
      <c r="X21" s="8"/>
    </row>
    <row r="22" spans="1:24" ht="23.25" customHeight="1" x14ac:dyDescent="0.25">
      <c r="A22" s="273"/>
      <c r="B22" s="31" t="s">
        <v>246</v>
      </c>
      <c r="C22" s="54">
        <f>C21</f>
        <v>27622428</v>
      </c>
      <c r="D22" s="54">
        <f>C22+D21</f>
        <v>60683956</v>
      </c>
      <c r="E22" s="54">
        <f t="shared" ref="E22:J22" si="2">D22+E21</f>
        <v>92071711</v>
      </c>
      <c r="F22" s="54">
        <f t="shared" si="2"/>
        <v>92071711</v>
      </c>
      <c r="G22" s="54">
        <f t="shared" si="2"/>
        <v>92071711</v>
      </c>
      <c r="H22" s="54">
        <f t="shared" si="2"/>
        <v>92071711</v>
      </c>
      <c r="I22" s="54">
        <f t="shared" si="2"/>
        <v>92071711</v>
      </c>
      <c r="J22" s="54">
        <f t="shared" si="2"/>
        <v>92071711</v>
      </c>
      <c r="K22" s="54">
        <f>J22+K21</f>
        <v>92071711</v>
      </c>
      <c r="L22" s="54">
        <f>K22+L21</f>
        <v>92071711</v>
      </c>
      <c r="M22" s="54">
        <f>L22+M21</f>
        <v>92071711</v>
      </c>
      <c r="N22" s="54">
        <f>M22+N21</f>
        <v>119814739</v>
      </c>
      <c r="O22" s="56">
        <f>MAX(C22:N22)</f>
        <v>119814739</v>
      </c>
      <c r="V22" s="7"/>
      <c r="W22" s="8"/>
      <c r="X22" s="8"/>
    </row>
    <row r="23" spans="1:24" ht="17.25" customHeight="1" x14ac:dyDescent="0.25">
      <c r="A23" s="273"/>
      <c r="B23" s="9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74"/>
      <c r="B24" s="97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75" t="s">
        <v>34</v>
      </c>
      <c r="B25" s="276"/>
      <c r="C25" s="277"/>
      <c r="D25" s="264" t="str">
        <f>'SET SP Nataga'!$G10</f>
        <v>Menor a 31 días</v>
      </c>
      <c r="E25" s="265"/>
      <c r="F25" s="265"/>
      <c r="G25" s="266"/>
      <c r="H25" s="264" t="str">
        <f>'SET SP Nataga'!$H10</f>
        <v>Entre 31 y 45 días</v>
      </c>
      <c r="I25" s="265"/>
      <c r="J25" s="265"/>
      <c r="K25" s="266"/>
      <c r="L25" s="264" t="str">
        <f>'SET SP Nataga'!$I10</f>
        <v>Mayor a 45 días</v>
      </c>
      <c r="M25" s="269"/>
      <c r="N25" s="269"/>
      <c r="O25" s="270"/>
      <c r="V25" s="7"/>
      <c r="W25" s="8"/>
      <c r="X25" s="8"/>
    </row>
    <row r="26" spans="1:24" ht="33" customHeight="1" thickBot="1" x14ac:dyDescent="0.3">
      <c r="A26" s="278"/>
      <c r="B26" s="279"/>
      <c r="C26" s="279"/>
      <c r="D26" s="280" t="s">
        <v>7</v>
      </c>
      <c r="E26" s="280"/>
      <c r="F26" s="280"/>
      <c r="G26" s="280"/>
      <c r="H26" s="281" t="s">
        <v>61</v>
      </c>
      <c r="I26" s="281"/>
      <c r="J26" s="281"/>
      <c r="K26" s="281"/>
      <c r="L26" s="241" t="s">
        <v>62</v>
      </c>
      <c r="M26" s="241"/>
      <c r="N26" s="241"/>
      <c r="O26" s="242"/>
      <c r="V26" s="7"/>
      <c r="W26" s="8"/>
      <c r="X26" s="8"/>
    </row>
    <row r="27" spans="1:24" ht="15.75" customHeight="1" thickBot="1" x14ac:dyDescent="0.3">
      <c r="A27" s="243" t="s">
        <v>36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5"/>
      <c r="V27" s="7"/>
      <c r="W27" s="8"/>
      <c r="X27" s="8"/>
    </row>
    <row r="28" spans="1:24" ht="264.75" customHeight="1" thickBot="1" x14ac:dyDescent="0.3">
      <c r="A28" s="261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3"/>
      <c r="V28" s="7"/>
    </row>
    <row r="29" spans="1:24" ht="15" customHeight="1" x14ac:dyDescent="0.25">
      <c r="A29" s="198" t="s">
        <v>58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200" t="s">
        <v>60</v>
      </c>
      <c r="O29" s="201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45658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45689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45717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45748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45778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45809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45839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45870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45901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45931</v>
      </c>
      <c r="O39" s="197"/>
    </row>
    <row r="40" spans="1:17" ht="15" x14ac:dyDescent="0.25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45962</v>
      </c>
      <c r="O40" s="197"/>
    </row>
    <row r="41" spans="1:17" ht="15.75" thickBot="1" x14ac:dyDescent="0.3">
      <c r="A41" s="192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6">
        <v>45992</v>
      </c>
      <c r="O41" s="197"/>
    </row>
    <row r="42" spans="1:17" ht="19.5" customHeight="1" x14ac:dyDescent="0.25">
      <c r="A42" s="198" t="s">
        <v>59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200" t="s">
        <v>60</v>
      </c>
      <c r="O42" s="201"/>
    </row>
    <row r="43" spans="1:17" ht="27.75" customHeight="1" x14ac:dyDescent="0.25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6"/>
      <c r="O43" s="197"/>
    </row>
    <row r="44" spans="1:17" ht="15.75" thickBot="1" x14ac:dyDescent="0.3">
      <c r="A44" s="293"/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5"/>
    </row>
    <row r="45" spans="1:17" ht="5.25" customHeight="1" x14ac:dyDescent="0.25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43">
        <v>32</v>
      </c>
    </row>
    <row r="62" spans="17:17" x14ac:dyDescent="0.25">
      <c r="Q62" s="43">
        <v>30</v>
      </c>
    </row>
  </sheetData>
  <mergeCells count="76">
    <mergeCell ref="H25:K25"/>
    <mergeCell ref="A25:C26"/>
    <mergeCell ref="A11:D11"/>
    <mergeCell ref="F11:G11"/>
    <mergeCell ref="L25:O25"/>
    <mergeCell ref="D26:G26"/>
    <mergeCell ref="H26:K26"/>
    <mergeCell ref="L26:O26"/>
    <mergeCell ref="A16:B16"/>
    <mergeCell ref="A18:B18"/>
    <mergeCell ref="A19:B19"/>
    <mergeCell ref="A20:A24"/>
    <mergeCell ref="A17:B17"/>
    <mergeCell ref="D25:G25"/>
    <mergeCell ref="J11:O11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N10:O10"/>
    <mergeCell ref="J9:K10"/>
    <mergeCell ref="L9:O9"/>
    <mergeCell ref="A44:M44"/>
    <mergeCell ref="N44:O44"/>
    <mergeCell ref="A29:M29"/>
    <mergeCell ref="N29:O29"/>
    <mergeCell ref="A30:M30"/>
    <mergeCell ref="N30:O30"/>
    <mergeCell ref="A31:M31"/>
    <mergeCell ref="N31:O31"/>
    <mergeCell ref="A42:M42"/>
    <mergeCell ref="N42:O42"/>
    <mergeCell ref="A43:M43"/>
    <mergeCell ref="A32:M32"/>
    <mergeCell ref="N43:O43"/>
    <mergeCell ref="A41:M41"/>
    <mergeCell ref="A36:M36"/>
    <mergeCell ref="A37:M37"/>
    <mergeCell ref="N41:O41"/>
    <mergeCell ref="N35:O35"/>
    <mergeCell ref="N36:O36"/>
    <mergeCell ref="A33:M33"/>
    <mergeCell ref="A34:M34"/>
    <mergeCell ref="A35:M35"/>
    <mergeCell ref="A38:M38"/>
    <mergeCell ref="A39:M39"/>
    <mergeCell ref="A40:M40"/>
    <mergeCell ref="N37:O37"/>
    <mergeCell ref="N38:O38"/>
    <mergeCell ref="N39:O39"/>
    <mergeCell ref="N40:O40"/>
    <mergeCell ref="D2:O2"/>
    <mergeCell ref="D3:O3"/>
    <mergeCell ref="N32:O32"/>
    <mergeCell ref="N33:O33"/>
    <mergeCell ref="N34:O34"/>
    <mergeCell ref="A12:O12"/>
    <mergeCell ref="A13:O13"/>
    <mergeCell ref="A14:O14"/>
    <mergeCell ref="A15:O15"/>
    <mergeCell ref="L10:M10"/>
    <mergeCell ref="A9:D10"/>
    <mergeCell ref="E9:E10"/>
    <mergeCell ref="F9:G10"/>
    <mergeCell ref="H9:H10"/>
    <mergeCell ref="I9:I10"/>
    <mergeCell ref="A28:O28"/>
  </mergeCells>
  <dataValidations count="1">
    <dataValidation type="list" allowBlank="1" showInputMessage="1" showErrorMessage="1" sqref="J11:O11" xr:uid="{00000000-0002-0000-03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X62"/>
  <sheetViews>
    <sheetView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4.85546875" style="2" customWidth="1"/>
    <col min="3" max="3" width="8.7109375" style="2" customWidth="1"/>
    <col min="4" max="4" width="9.28515625" style="2" customWidth="1"/>
    <col min="5" max="5" width="8.140625" style="2" customWidth="1"/>
    <col min="6" max="6" width="8" style="2" customWidth="1"/>
    <col min="7" max="14" width="9.28515625" style="2" customWidth="1"/>
    <col min="15" max="15" width="9.5703125" style="2" customWidth="1"/>
    <col min="16" max="16" width="7.28515625" style="2" customWidth="1"/>
    <col min="17" max="17" width="9.7109375" style="2" hidden="1" customWidth="1"/>
    <col min="18" max="18" width="7.28515625" style="2" hidden="1" customWidth="1"/>
    <col min="19" max="19" width="7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4.2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.7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Nataga'!$B11</f>
        <v>Ejecución de inversiones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Nataga'!F11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Nataga'!A11</f>
        <v>IN04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8" customHeight="1" thickBot="1" x14ac:dyDescent="0.3">
      <c r="A11" s="236" t="str">
        <f>'SET SP Nataga'!$C11</f>
        <v>Realizar el seguimiento a la ejecución de la inversión establecida para la vigencia fiscal respectiva.</v>
      </c>
      <c r="B11" s="237"/>
      <c r="C11" s="237"/>
      <c r="D11" s="237"/>
      <c r="E11" s="14" t="s">
        <v>35</v>
      </c>
      <c r="F11" s="237" t="str">
        <f>'SET SP Nataga'!$D11</f>
        <v xml:space="preserve">(Inversión realizada / Inversión presupuestada) x 100% </v>
      </c>
      <c r="G11" s="237"/>
      <c r="H11" s="30">
        <f>$O18</f>
        <v>1</v>
      </c>
      <c r="I11" s="13" t="str">
        <f>'SET SP Nataga'!$E11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tr">
        <f>+'03'!A15:O15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99">
        <f t="shared" ref="C17:N17" si="0">$O$17</f>
        <v>0.92</v>
      </c>
      <c r="D17" s="99">
        <f t="shared" si="0"/>
        <v>0.92</v>
      </c>
      <c r="E17" s="99">
        <f t="shared" si="0"/>
        <v>0.92</v>
      </c>
      <c r="F17" s="99">
        <f t="shared" si="0"/>
        <v>0.92</v>
      </c>
      <c r="G17" s="99">
        <f t="shared" si="0"/>
        <v>0.92</v>
      </c>
      <c r="H17" s="99">
        <f t="shared" si="0"/>
        <v>0.92</v>
      </c>
      <c r="I17" s="99">
        <f t="shared" si="0"/>
        <v>0.92</v>
      </c>
      <c r="J17" s="99">
        <f t="shared" si="0"/>
        <v>0.92</v>
      </c>
      <c r="K17" s="99">
        <f t="shared" si="0"/>
        <v>0.92</v>
      </c>
      <c r="L17" s="99">
        <f t="shared" si="0"/>
        <v>0.92</v>
      </c>
      <c r="M17" s="99">
        <f t="shared" si="0"/>
        <v>0.92</v>
      </c>
      <c r="N17" s="99">
        <f t="shared" si="0"/>
        <v>0.92</v>
      </c>
      <c r="O17" s="103">
        <f>'SET SP Nataga'!J11</f>
        <v>0.92</v>
      </c>
      <c r="V17" s="7"/>
      <c r="W17" s="8"/>
      <c r="X17" s="8"/>
    </row>
    <row r="18" spans="1:24" ht="17.25" customHeight="1" x14ac:dyDescent="0.25">
      <c r="A18" s="267" t="str">
        <f>+'03'!A18:B18</f>
        <v>META  AÑO 2025</v>
      </c>
      <c r="B18" s="268"/>
      <c r="C18" s="99">
        <f t="shared" ref="C18:N18" si="1">$O$18</f>
        <v>1</v>
      </c>
      <c r="D18" s="99">
        <f t="shared" si="1"/>
        <v>1</v>
      </c>
      <c r="E18" s="99">
        <f t="shared" si="1"/>
        <v>1</v>
      </c>
      <c r="F18" s="99">
        <f t="shared" si="1"/>
        <v>1</v>
      </c>
      <c r="G18" s="99">
        <f t="shared" si="1"/>
        <v>1</v>
      </c>
      <c r="H18" s="99">
        <f t="shared" si="1"/>
        <v>1</v>
      </c>
      <c r="I18" s="99">
        <f t="shared" si="1"/>
        <v>1</v>
      </c>
      <c r="J18" s="99">
        <f t="shared" si="1"/>
        <v>1</v>
      </c>
      <c r="K18" s="99">
        <f t="shared" si="1"/>
        <v>1</v>
      </c>
      <c r="L18" s="99">
        <f t="shared" si="1"/>
        <v>1</v>
      </c>
      <c r="M18" s="99">
        <f t="shared" si="1"/>
        <v>1</v>
      </c>
      <c r="N18" s="99">
        <f t="shared" si="1"/>
        <v>1</v>
      </c>
      <c r="O18" s="103">
        <f>'SET SP Nataga'!K11</f>
        <v>1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 t="str">
        <f t="shared" ref="C19:O19" si="2">IF((C22),C21/C22,"-")</f>
        <v>-</v>
      </c>
      <c r="D19" s="10" t="str">
        <f t="shared" si="2"/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 t="shared" si="2"/>
        <v>-</v>
      </c>
      <c r="V19" s="7"/>
      <c r="W19" s="8"/>
      <c r="X19" s="8"/>
    </row>
    <row r="20" spans="1:24" ht="17.25" customHeight="1" x14ac:dyDescent="0.25">
      <c r="A20" s="273" t="s">
        <v>37</v>
      </c>
      <c r="B20" s="31" t="s">
        <v>170</v>
      </c>
      <c r="C20" s="3">
        <v>0</v>
      </c>
      <c r="D20" s="3">
        <v>0</v>
      </c>
      <c r="E20" s="3">
        <v>0</v>
      </c>
      <c r="F20" s="3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6">
        <f>SUM(C20:N20)</f>
        <v>0</v>
      </c>
      <c r="V20" s="7"/>
      <c r="W20" s="8"/>
      <c r="X20" s="8"/>
    </row>
    <row r="21" spans="1:24" ht="17.25" customHeight="1" x14ac:dyDescent="0.25">
      <c r="A21" s="273"/>
      <c r="B21" s="31" t="s">
        <v>169</v>
      </c>
      <c r="C21" s="54">
        <f>C20</f>
        <v>0</v>
      </c>
      <c r="D21" s="54">
        <f>C21+D20</f>
        <v>0</v>
      </c>
      <c r="E21" s="54">
        <f t="shared" ref="E21:J21" si="3">D21+E20</f>
        <v>0</v>
      </c>
      <c r="F21" s="54">
        <f t="shared" si="3"/>
        <v>0</v>
      </c>
      <c r="G21" s="54">
        <f t="shared" si="3"/>
        <v>0</v>
      </c>
      <c r="H21" s="54">
        <f t="shared" si="3"/>
        <v>0</v>
      </c>
      <c r="I21" s="54">
        <f t="shared" si="3"/>
        <v>0</v>
      </c>
      <c r="J21" s="54">
        <f t="shared" si="3"/>
        <v>0</v>
      </c>
      <c r="K21" s="54">
        <f>J21+K20</f>
        <v>0</v>
      </c>
      <c r="L21" s="54">
        <f>K21+L20</f>
        <v>0</v>
      </c>
      <c r="M21" s="54">
        <f>L21+M20</f>
        <v>0</v>
      </c>
      <c r="N21" s="54">
        <f>M21+N20</f>
        <v>0</v>
      </c>
      <c r="O21" s="56">
        <f>MAX(C21:N21)</f>
        <v>0</v>
      </c>
      <c r="V21" s="7"/>
      <c r="W21" s="8"/>
      <c r="X21" s="8"/>
    </row>
    <row r="22" spans="1:24" ht="13.5" customHeight="1" x14ac:dyDescent="0.25">
      <c r="A22" s="273"/>
      <c r="B22" s="31" t="s">
        <v>133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6">
        <f>MAX(C22:N22)</f>
        <v>0</v>
      </c>
      <c r="V22" s="7"/>
      <c r="W22" s="8"/>
      <c r="X22" s="8"/>
    </row>
    <row r="23" spans="1:24" ht="17.25" customHeight="1" x14ac:dyDescent="0.25">
      <c r="A23" s="273"/>
      <c r="B23" s="9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74"/>
      <c r="B24" s="97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75" t="s">
        <v>34</v>
      </c>
      <c r="B25" s="276"/>
      <c r="C25" s="277"/>
      <c r="D25" s="264" t="str">
        <f>'SET SP Nataga'!$G11</f>
        <v>Entre 80% y 100%</v>
      </c>
      <c r="E25" s="265"/>
      <c r="F25" s="265"/>
      <c r="G25" s="266"/>
      <c r="H25" s="264" t="str">
        <f>'SET SP Nataga'!$H11</f>
        <v>Entre 60% y 79%</v>
      </c>
      <c r="I25" s="265"/>
      <c r="J25" s="265"/>
      <c r="K25" s="266"/>
      <c r="L25" s="264" t="str">
        <f>'SET SP Nataga'!$I11</f>
        <v>Menor al 59%</v>
      </c>
      <c r="M25" s="269"/>
      <c r="N25" s="269"/>
      <c r="O25" s="270"/>
      <c r="V25" s="7"/>
      <c r="W25" s="8"/>
      <c r="X25" s="8"/>
    </row>
    <row r="26" spans="1:24" ht="33" customHeight="1" thickBot="1" x14ac:dyDescent="0.3">
      <c r="A26" s="278"/>
      <c r="B26" s="279"/>
      <c r="C26" s="279"/>
      <c r="D26" s="280" t="s">
        <v>7</v>
      </c>
      <c r="E26" s="280"/>
      <c r="F26" s="280"/>
      <c r="G26" s="280"/>
      <c r="H26" s="281" t="s">
        <v>61</v>
      </c>
      <c r="I26" s="281"/>
      <c r="J26" s="281"/>
      <c r="K26" s="281"/>
      <c r="L26" s="241" t="s">
        <v>62</v>
      </c>
      <c r="M26" s="241"/>
      <c r="N26" s="241"/>
      <c r="O26" s="242"/>
      <c r="V26" s="7"/>
      <c r="W26" s="8"/>
      <c r="X26" s="8"/>
    </row>
    <row r="27" spans="1:24" ht="15.75" customHeight="1" thickBot="1" x14ac:dyDescent="0.3">
      <c r="A27" s="243" t="s">
        <v>36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5"/>
      <c r="V27" s="7"/>
      <c r="W27" s="8"/>
      <c r="X27" s="8"/>
    </row>
    <row r="28" spans="1:24" ht="264.75" customHeight="1" thickBot="1" x14ac:dyDescent="0.3">
      <c r="A28" s="261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3"/>
      <c r="V28" s="7"/>
    </row>
    <row r="29" spans="1:24" ht="15" customHeight="1" x14ac:dyDescent="0.25">
      <c r="A29" s="198" t="s">
        <v>58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200" t="s">
        <v>60</v>
      </c>
      <c r="O29" s="201"/>
    </row>
    <row r="30" spans="1:24" ht="15" x14ac:dyDescent="0.25">
      <c r="A30" s="192" t="s">
        <v>269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45658</v>
      </c>
      <c r="O30" s="197"/>
    </row>
    <row r="31" spans="1:24" ht="15" x14ac:dyDescent="0.25">
      <c r="A31" s="192" t="s">
        <v>269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45689</v>
      </c>
      <c r="O31" s="197"/>
    </row>
    <row r="32" spans="1:24" ht="15" x14ac:dyDescent="0.25">
      <c r="A32" s="192" t="s">
        <v>269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45717</v>
      </c>
      <c r="O32" s="197"/>
    </row>
    <row r="33" spans="1:17" ht="15" x14ac:dyDescent="0.25">
      <c r="A33" s="192" t="s">
        <v>269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45748</v>
      </c>
      <c r="O33" s="197"/>
    </row>
    <row r="34" spans="1:17" ht="15" x14ac:dyDescent="0.25">
      <c r="A34" s="192" t="s">
        <v>269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45778</v>
      </c>
      <c r="O34" s="197"/>
    </row>
    <row r="35" spans="1:17" ht="15" x14ac:dyDescent="0.25">
      <c r="A35" s="192" t="s">
        <v>269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45809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45839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45870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45901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45931</v>
      </c>
      <c r="O39" s="197"/>
    </row>
    <row r="40" spans="1:17" ht="15" x14ac:dyDescent="0.25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45962</v>
      </c>
      <c r="O40" s="197"/>
    </row>
    <row r="41" spans="1:17" ht="15.75" thickBot="1" x14ac:dyDescent="0.3">
      <c r="A41" s="192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6">
        <v>45992</v>
      </c>
      <c r="O41" s="197"/>
    </row>
    <row r="42" spans="1:17" ht="19.5" customHeight="1" x14ac:dyDescent="0.25">
      <c r="A42" s="198" t="s">
        <v>59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200" t="s">
        <v>60</v>
      </c>
      <c r="O42" s="201"/>
    </row>
    <row r="43" spans="1:17" ht="14.25" customHeight="1" x14ac:dyDescent="0.25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4"/>
      <c r="O43" s="195"/>
    </row>
    <row r="44" spans="1:17" ht="15.75" thickBot="1" x14ac:dyDescent="0.3">
      <c r="A44" s="293"/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5"/>
    </row>
    <row r="45" spans="1:17" ht="5.25" customHeight="1" x14ac:dyDescent="0.25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0.92</v>
      </c>
    </row>
    <row r="62" spans="17:17" x14ac:dyDescent="0.25">
      <c r="Q62" s="35">
        <v>1</v>
      </c>
    </row>
  </sheetData>
  <mergeCells count="76">
    <mergeCell ref="H25:K25"/>
    <mergeCell ref="A25:C26"/>
    <mergeCell ref="A11:D11"/>
    <mergeCell ref="F11:G11"/>
    <mergeCell ref="L25:O25"/>
    <mergeCell ref="D26:G26"/>
    <mergeCell ref="H26:K26"/>
    <mergeCell ref="L26:O26"/>
    <mergeCell ref="A16:B16"/>
    <mergeCell ref="A18:B18"/>
    <mergeCell ref="A19:B19"/>
    <mergeCell ref="A20:A24"/>
    <mergeCell ref="A17:B17"/>
    <mergeCell ref="D25:G25"/>
    <mergeCell ref="J11:O11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N10:O10"/>
    <mergeCell ref="J9:K10"/>
    <mergeCell ref="L9:O9"/>
    <mergeCell ref="A44:M44"/>
    <mergeCell ref="N44:O44"/>
    <mergeCell ref="A29:M29"/>
    <mergeCell ref="N29:O29"/>
    <mergeCell ref="A30:M30"/>
    <mergeCell ref="N30:O30"/>
    <mergeCell ref="A31:M31"/>
    <mergeCell ref="N31:O31"/>
    <mergeCell ref="A42:M42"/>
    <mergeCell ref="N42:O42"/>
    <mergeCell ref="A43:M43"/>
    <mergeCell ref="N43:O43"/>
    <mergeCell ref="N40:O40"/>
    <mergeCell ref="N41:O41"/>
    <mergeCell ref="A32:M32"/>
    <mergeCell ref="A33:M33"/>
    <mergeCell ref="A34:M34"/>
    <mergeCell ref="A35:M35"/>
    <mergeCell ref="A41:M41"/>
    <mergeCell ref="A36:M36"/>
    <mergeCell ref="A37:M37"/>
    <mergeCell ref="A38:M38"/>
    <mergeCell ref="A39:M39"/>
    <mergeCell ref="A40:M40"/>
    <mergeCell ref="N35:O35"/>
    <mergeCell ref="N36:O36"/>
    <mergeCell ref="N37:O37"/>
    <mergeCell ref="N38:O38"/>
    <mergeCell ref="N39:O39"/>
    <mergeCell ref="D2:O2"/>
    <mergeCell ref="D3:O3"/>
    <mergeCell ref="N32:O32"/>
    <mergeCell ref="N33:O33"/>
    <mergeCell ref="N34:O34"/>
    <mergeCell ref="A12:O12"/>
    <mergeCell ref="A13:O13"/>
    <mergeCell ref="A14:O14"/>
    <mergeCell ref="A15:O15"/>
    <mergeCell ref="L10:M10"/>
    <mergeCell ref="A9:D10"/>
    <mergeCell ref="E9:E10"/>
    <mergeCell ref="F9:G10"/>
    <mergeCell ref="H9:H10"/>
    <mergeCell ref="I9:I10"/>
    <mergeCell ref="A28:O28"/>
  </mergeCells>
  <dataValidations disablePrompts="1" count="1">
    <dataValidation type="list" allowBlank="1" showInputMessage="1" showErrorMessage="1" sqref="J11:O11" xr:uid="{00000000-0002-0000-04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8.5703125" style="2" customWidth="1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2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3.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Nataga'!$B12</f>
        <v>Cobertura   (Acueducto)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Nataga'!F12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Nataga'!A12</f>
        <v>IN05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55.5" customHeight="1" thickBot="1" x14ac:dyDescent="0.3">
      <c r="A11" s="236" t="str">
        <f>'SET SP Nataga'!$C12</f>
        <v xml:space="preserve">Medir el grado de cobertura en   la prestación del servicio de acueducto administrado por Aguas del Huila. </v>
      </c>
      <c r="B11" s="237"/>
      <c r="C11" s="237"/>
      <c r="D11" s="237"/>
      <c r="E11" s="14" t="s">
        <v>35</v>
      </c>
      <c r="F11" s="237" t="str">
        <f>'SET SP Nataga'!$D12</f>
        <v xml:space="preserve">(Número de Suscriptores servicio acueducto / Número de Domicilios) x 100% </v>
      </c>
      <c r="G11" s="237"/>
      <c r="H11" s="12">
        <f>$O18</f>
        <v>1</v>
      </c>
      <c r="I11" s="13" t="str">
        <f>'SET SP Nataga'!$E12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+'04'!A15:O15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>
        <f t="shared" ref="C17:N17" si="0">$O$17</f>
        <v>0.99</v>
      </c>
      <c r="D17" s="50">
        <f t="shared" si="0"/>
        <v>0.99</v>
      </c>
      <c r="E17" s="50">
        <f t="shared" si="0"/>
        <v>0.99</v>
      </c>
      <c r="F17" s="50">
        <f t="shared" si="0"/>
        <v>0.99</v>
      </c>
      <c r="G17" s="50">
        <f t="shared" si="0"/>
        <v>0.99</v>
      </c>
      <c r="H17" s="50">
        <f t="shared" si="0"/>
        <v>0.99</v>
      </c>
      <c r="I17" s="50">
        <f t="shared" si="0"/>
        <v>0.99</v>
      </c>
      <c r="J17" s="50">
        <f t="shared" si="0"/>
        <v>0.99</v>
      </c>
      <c r="K17" s="50">
        <f t="shared" si="0"/>
        <v>0.99</v>
      </c>
      <c r="L17" s="50">
        <f t="shared" si="0"/>
        <v>0.99</v>
      </c>
      <c r="M17" s="50">
        <f t="shared" si="0"/>
        <v>0.99</v>
      </c>
      <c r="N17" s="50">
        <f t="shared" si="0"/>
        <v>0.99</v>
      </c>
      <c r="O17" s="104">
        <f>'SET SP Nataga'!J12</f>
        <v>0.99</v>
      </c>
      <c r="V17" s="7"/>
      <c r="W17" s="8"/>
      <c r="X17" s="8"/>
    </row>
    <row r="18" spans="1:24" ht="17.25" customHeight="1" x14ac:dyDescent="0.25">
      <c r="A18" s="267" t="str">
        <f>+'04'!A18:B18</f>
        <v>META  AÑO 2025</v>
      </c>
      <c r="B18" s="268"/>
      <c r="C18" s="50">
        <f t="shared" ref="C18:N18" si="1">$O$18</f>
        <v>1</v>
      </c>
      <c r="D18" s="50">
        <f t="shared" si="1"/>
        <v>1</v>
      </c>
      <c r="E18" s="50">
        <f t="shared" si="1"/>
        <v>1</v>
      </c>
      <c r="F18" s="50">
        <f t="shared" si="1"/>
        <v>1</v>
      </c>
      <c r="G18" s="50">
        <f t="shared" si="1"/>
        <v>1</v>
      </c>
      <c r="H18" s="50">
        <f t="shared" si="1"/>
        <v>1</v>
      </c>
      <c r="I18" s="50">
        <f t="shared" si="1"/>
        <v>1</v>
      </c>
      <c r="J18" s="50">
        <f t="shared" si="1"/>
        <v>1</v>
      </c>
      <c r="K18" s="50">
        <f t="shared" si="1"/>
        <v>1</v>
      </c>
      <c r="L18" s="50">
        <f t="shared" si="1"/>
        <v>1</v>
      </c>
      <c r="M18" s="50">
        <f t="shared" si="1"/>
        <v>1</v>
      </c>
      <c r="N18" s="50">
        <f t="shared" si="1"/>
        <v>1</v>
      </c>
      <c r="O18" s="104">
        <f>'SET SP Nataga'!K12</f>
        <v>1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 t="str">
        <f>IF((C21),C20/C21,"-")</f>
        <v>-</v>
      </c>
      <c r="D19" s="10" t="str">
        <f>IF((D21),D20/D21,"-")</f>
        <v>-</v>
      </c>
      <c r="E19" s="10" t="str">
        <f>IF((E21),E20/E21,"-")</f>
        <v>-</v>
      </c>
      <c r="F19" s="10" t="str">
        <f>IF((F21),F20/F21,"-")</f>
        <v>-</v>
      </c>
      <c r="G19" s="10" t="str">
        <f t="shared" ref="G19:O19" si="2">IF((G21),G20/G21,"-")</f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0.99900398406374502</v>
      </c>
      <c r="O19" s="11">
        <f t="shared" si="2"/>
        <v>4.8426294820717128</v>
      </c>
      <c r="V19" s="7"/>
      <c r="W19" s="8"/>
      <c r="X19" s="8"/>
    </row>
    <row r="20" spans="1:24" ht="24" customHeight="1" x14ac:dyDescent="0.25">
      <c r="A20" s="273" t="s">
        <v>37</v>
      </c>
      <c r="B20" s="31" t="s">
        <v>256</v>
      </c>
      <c r="C20" s="3">
        <f>+NATAGA2020!D$6</f>
        <v>964</v>
      </c>
      <c r="D20" s="20">
        <f>+NATAGA2020!E$6</f>
        <v>962</v>
      </c>
      <c r="E20" s="20">
        <f>+NATAGA2020!F$6</f>
        <v>963</v>
      </c>
      <c r="F20" s="20">
        <f>+NATAGA2020!G$6</f>
        <v>970</v>
      </c>
      <c r="G20" s="20">
        <f>+NATAGA2020!H$6</f>
        <v>0</v>
      </c>
      <c r="H20" s="20">
        <f>+NATAGA2020!I$6</f>
        <v>0</v>
      </c>
      <c r="I20" s="20">
        <f>+NATAGA2020!J$6</f>
        <v>0</v>
      </c>
      <c r="J20" s="20">
        <f>+NATAGA2020!K$6</f>
        <v>0</v>
      </c>
      <c r="K20" s="20">
        <f>+NATAGA2020!L$6</f>
        <v>0</v>
      </c>
      <c r="L20" s="20">
        <f>+NATAGA2020!M$6</f>
        <v>0</v>
      </c>
      <c r="M20" s="20">
        <f>+NATAGA2020!N$6</f>
        <v>0</v>
      </c>
      <c r="N20" s="20">
        <f>+NATAGA2020!O$6</f>
        <v>1003</v>
      </c>
      <c r="O20" s="21">
        <f>SUM(C20:N20)</f>
        <v>4862</v>
      </c>
      <c r="V20" s="7"/>
      <c r="W20" s="8"/>
      <c r="X20" s="8"/>
    </row>
    <row r="21" spans="1:24" ht="15.75" customHeight="1" x14ac:dyDescent="0.25">
      <c r="A21" s="273"/>
      <c r="B21" s="31" t="s">
        <v>135</v>
      </c>
      <c r="C21" s="3">
        <f>+NATAGA2020!D$5</f>
        <v>0</v>
      </c>
      <c r="D21" s="20">
        <f>+NATAGA2020!E$5</f>
        <v>0</v>
      </c>
      <c r="E21" s="20">
        <f>+NATAGA2020!F$5</f>
        <v>0</v>
      </c>
      <c r="F21" s="20">
        <f>+NATAGA2020!G$5</f>
        <v>0</v>
      </c>
      <c r="G21" s="20">
        <f>+NATAGA2020!H$5</f>
        <v>0</v>
      </c>
      <c r="H21" s="20">
        <f>+NATAGA2020!I$5</f>
        <v>0</v>
      </c>
      <c r="I21" s="20">
        <f>+NATAGA2020!J$5</f>
        <v>0</v>
      </c>
      <c r="J21" s="20">
        <f>+NATAGA2020!K$5</f>
        <v>0</v>
      </c>
      <c r="K21" s="20">
        <f>+NATAGA2020!L$5</f>
        <v>0</v>
      </c>
      <c r="L21" s="20">
        <f>+NATAGA2020!M$5</f>
        <v>0</v>
      </c>
      <c r="M21" s="20">
        <f>+NATAGA2020!N$5</f>
        <v>0</v>
      </c>
      <c r="N21" s="20">
        <f>+NATAGA2020!O$5</f>
        <v>1004</v>
      </c>
      <c r="O21" s="21">
        <f>SUM(C21:N21)</f>
        <v>1004</v>
      </c>
      <c r="V21" s="7"/>
      <c r="W21" s="8"/>
      <c r="X21" s="8"/>
    </row>
    <row r="22" spans="1:24" ht="17.2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Nataga'!$G12</f>
        <v>Entre 80% y 100%</v>
      </c>
      <c r="E24" s="265"/>
      <c r="F24" s="265"/>
      <c r="G24" s="266"/>
      <c r="H24" s="264" t="str">
        <f>'SET SP Nataga'!$H12</f>
        <v>Entre 60% y 79%</v>
      </c>
      <c r="I24" s="265"/>
      <c r="J24" s="265"/>
      <c r="K24" s="266"/>
      <c r="L24" s="264" t="str">
        <f>'SET SP Nataga'!$I12</f>
        <v>Menor al 59%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19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6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L25:O25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34:M34"/>
    <mergeCell ref="A35:M35"/>
    <mergeCell ref="A30:M30"/>
    <mergeCell ref="N30:O30"/>
    <mergeCell ref="D1:O1"/>
    <mergeCell ref="D4:O4"/>
    <mergeCell ref="A5:E5"/>
    <mergeCell ref="F5:O5"/>
    <mergeCell ref="A6:E6"/>
    <mergeCell ref="F6:O6"/>
    <mergeCell ref="A1:C4"/>
    <mergeCell ref="N10:O10"/>
    <mergeCell ref="A11:D11"/>
    <mergeCell ref="F11:G11"/>
    <mergeCell ref="L24:O24"/>
    <mergeCell ref="D25:G25"/>
    <mergeCell ref="N39:O39"/>
    <mergeCell ref="N40:O40"/>
    <mergeCell ref="A36:M36"/>
    <mergeCell ref="A37:M37"/>
    <mergeCell ref="A38:M38"/>
    <mergeCell ref="A39:M39"/>
    <mergeCell ref="A40:M40"/>
    <mergeCell ref="N34:O34"/>
    <mergeCell ref="N35:O35"/>
    <mergeCell ref="N36:O36"/>
    <mergeCell ref="N37:O37"/>
    <mergeCell ref="N38:O38"/>
    <mergeCell ref="D2:O2"/>
    <mergeCell ref="D3:O3"/>
    <mergeCell ref="N31:O31"/>
    <mergeCell ref="N32:O32"/>
    <mergeCell ref="N33:O33"/>
    <mergeCell ref="A31:M31"/>
    <mergeCell ref="A32:M32"/>
    <mergeCell ref="A33:M33"/>
    <mergeCell ref="H25:K25"/>
    <mergeCell ref="A13:O13"/>
    <mergeCell ref="A16:B16"/>
    <mergeCell ref="I9:I10"/>
    <mergeCell ref="J9:K10"/>
    <mergeCell ref="L9:O9"/>
    <mergeCell ref="L10:M10"/>
    <mergeCell ref="H9:H10"/>
  </mergeCells>
  <dataValidations count="1">
    <dataValidation type="list" allowBlank="1" showInputMessage="1" showErrorMessage="1" sqref="J11:O11" xr:uid="{00000000-0002-0000-05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5703125" style="2" customWidth="1"/>
    <col min="17" max="18" width="6.5703125" style="2" hidden="1" customWidth="1"/>
    <col min="19" max="19" width="6.5703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3.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6.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3.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Nataga'!$B13</f>
        <v>Cobertura   (Alcantarillado)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Nataga'!F13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Nataga'!A13</f>
        <v>IN06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56.25" customHeight="1" thickBot="1" x14ac:dyDescent="0.3">
      <c r="A11" s="236" t="str">
        <f>'SET SP Nataga'!$C13</f>
        <v xml:space="preserve">Medir el grado de cobertura en   la prestación del servicio de alcantarillado administrado  por Aguas del Huila. </v>
      </c>
      <c r="B11" s="237"/>
      <c r="C11" s="237"/>
      <c r="D11" s="237"/>
      <c r="E11" s="14" t="s">
        <v>35</v>
      </c>
      <c r="F11" s="237" t="str">
        <f>'SET SP Nataga'!$D13</f>
        <v xml:space="preserve">(Número de Suscriptores servicio alcantarillado / Número de Domicilios) x 100%  </v>
      </c>
      <c r="G11" s="237"/>
      <c r="H11" s="19">
        <f>$O18</f>
        <v>1</v>
      </c>
      <c r="I11" s="13" t="str">
        <f>'SET SP Nataga'!$E13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1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+'05'!A15:O15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50">
        <f t="shared" ref="C17:N17" si="0">$O$17</f>
        <v>0.94</v>
      </c>
      <c r="D17" s="50">
        <f t="shared" si="0"/>
        <v>0.94</v>
      </c>
      <c r="E17" s="50">
        <f t="shared" si="0"/>
        <v>0.94</v>
      </c>
      <c r="F17" s="50">
        <f t="shared" si="0"/>
        <v>0.94</v>
      </c>
      <c r="G17" s="50">
        <f t="shared" si="0"/>
        <v>0.94</v>
      </c>
      <c r="H17" s="50">
        <f t="shared" si="0"/>
        <v>0.94</v>
      </c>
      <c r="I17" s="50">
        <f t="shared" si="0"/>
        <v>0.94</v>
      </c>
      <c r="J17" s="50">
        <f t="shared" si="0"/>
        <v>0.94</v>
      </c>
      <c r="K17" s="50">
        <f t="shared" si="0"/>
        <v>0.94</v>
      </c>
      <c r="L17" s="50">
        <f t="shared" si="0"/>
        <v>0.94</v>
      </c>
      <c r="M17" s="50">
        <f t="shared" si="0"/>
        <v>0.94</v>
      </c>
      <c r="N17" s="50">
        <f t="shared" si="0"/>
        <v>0.94</v>
      </c>
      <c r="O17" s="104">
        <f>'SET SP Nataga'!J13</f>
        <v>0.94</v>
      </c>
      <c r="V17" s="7"/>
      <c r="W17" s="8"/>
      <c r="X17" s="8"/>
    </row>
    <row r="18" spans="1:24" ht="17.25" customHeight="1" x14ac:dyDescent="0.25">
      <c r="A18" s="267" t="str">
        <f>+'05'!A18:B18</f>
        <v>META  AÑO 2025</v>
      </c>
      <c r="B18" s="268"/>
      <c r="C18" s="50">
        <f t="shared" ref="C18:N18" si="1">$O$18</f>
        <v>1</v>
      </c>
      <c r="D18" s="50">
        <f t="shared" si="1"/>
        <v>1</v>
      </c>
      <c r="E18" s="50">
        <f t="shared" si="1"/>
        <v>1</v>
      </c>
      <c r="F18" s="50">
        <f t="shared" si="1"/>
        <v>1</v>
      </c>
      <c r="G18" s="50">
        <f t="shared" si="1"/>
        <v>1</v>
      </c>
      <c r="H18" s="50">
        <f t="shared" si="1"/>
        <v>1</v>
      </c>
      <c r="I18" s="50">
        <f t="shared" si="1"/>
        <v>1</v>
      </c>
      <c r="J18" s="50">
        <f t="shared" si="1"/>
        <v>1</v>
      </c>
      <c r="K18" s="50">
        <f t="shared" si="1"/>
        <v>1</v>
      </c>
      <c r="L18" s="50">
        <f t="shared" si="1"/>
        <v>1</v>
      </c>
      <c r="M18" s="50">
        <f t="shared" si="1"/>
        <v>1</v>
      </c>
      <c r="N18" s="50">
        <f t="shared" si="1"/>
        <v>1</v>
      </c>
      <c r="O18" s="104">
        <f>'SET SP Nataga'!K13</f>
        <v>1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 t="str">
        <f>IF((C21),C20/C21,"-")</f>
        <v>-</v>
      </c>
      <c r="D19" s="10" t="str">
        <f>IF((D21),D20/D21,"-")</f>
        <v>-</v>
      </c>
      <c r="E19" s="10" t="str">
        <f>IF((E21),E20/E21,"-")</f>
        <v>-</v>
      </c>
      <c r="F19" s="10" t="str">
        <f>IF((F21),F20/F21,"-")</f>
        <v>-</v>
      </c>
      <c r="G19" s="10" t="str">
        <f t="shared" ref="G19:O19" si="2">IF((G21),G20/G21,"-")</f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0.96912350597609564</v>
      </c>
      <c r="O19" s="11">
        <f t="shared" si="2"/>
        <v>4.7011952191235062</v>
      </c>
      <c r="V19" s="7"/>
      <c r="W19" s="8"/>
      <c r="X19" s="8"/>
    </row>
    <row r="20" spans="1:24" ht="24.75" customHeight="1" x14ac:dyDescent="0.25">
      <c r="A20" s="273" t="s">
        <v>37</v>
      </c>
      <c r="B20" s="31" t="s">
        <v>257</v>
      </c>
      <c r="C20" s="20">
        <f>+NATAGA2020!D$7</f>
        <v>936</v>
      </c>
      <c r="D20" s="20">
        <f>+NATAGA2020!E$7</f>
        <v>934</v>
      </c>
      <c r="E20" s="20">
        <f>+NATAGA2020!F$7</f>
        <v>935</v>
      </c>
      <c r="F20" s="20">
        <f>+NATAGA2020!G$7</f>
        <v>942</v>
      </c>
      <c r="G20" s="20">
        <f>+NATAGA2020!H$7</f>
        <v>0</v>
      </c>
      <c r="H20" s="20">
        <f>+NATAGA2020!I$7</f>
        <v>0</v>
      </c>
      <c r="I20" s="20">
        <f>+NATAGA2020!J$7</f>
        <v>0</v>
      </c>
      <c r="J20" s="20">
        <f>+NATAGA2020!K$7</f>
        <v>0</v>
      </c>
      <c r="K20" s="20">
        <f>+NATAGA2020!L$7</f>
        <v>0</v>
      </c>
      <c r="L20" s="20">
        <f>+NATAGA2020!M$7</f>
        <v>0</v>
      </c>
      <c r="M20" s="20">
        <f>+NATAGA2020!N$7</f>
        <v>0</v>
      </c>
      <c r="N20" s="20">
        <f>+NATAGA2020!O$7</f>
        <v>973</v>
      </c>
      <c r="O20" s="21">
        <f>SUM(C20:N20)</f>
        <v>4720</v>
      </c>
      <c r="V20" s="7"/>
      <c r="W20" s="8"/>
      <c r="X20" s="8"/>
    </row>
    <row r="21" spans="1:24" ht="12.75" customHeight="1" x14ac:dyDescent="0.25">
      <c r="A21" s="273"/>
      <c r="B21" s="31" t="s">
        <v>135</v>
      </c>
      <c r="C21" s="20">
        <f>+'05'!C21</f>
        <v>0</v>
      </c>
      <c r="D21" s="20">
        <f>+'05'!D21</f>
        <v>0</v>
      </c>
      <c r="E21" s="20">
        <f>+'05'!E21</f>
        <v>0</v>
      </c>
      <c r="F21" s="20">
        <f>+'05'!F21</f>
        <v>0</v>
      </c>
      <c r="G21" s="20">
        <f>+'05'!G21</f>
        <v>0</v>
      </c>
      <c r="H21" s="20">
        <f>+'05'!H21</f>
        <v>0</v>
      </c>
      <c r="I21" s="20">
        <f>+'05'!I21</f>
        <v>0</v>
      </c>
      <c r="J21" s="20">
        <f>+'05'!J21</f>
        <v>0</v>
      </c>
      <c r="K21" s="20">
        <f>+'05'!K21</f>
        <v>0</v>
      </c>
      <c r="L21" s="20">
        <f>+'05'!L21</f>
        <v>0</v>
      </c>
      <c r="M21" s="20">
        <f>+'05'!M21</f>
        <v>0</v>
      </c>
      <c r="N21" s="20">
        <f>+'05'!N21</f>
        <v>1004</v>
      </c>
      <c r="O21" s="21">
        <f>SUM(C21:N21)</f>
        <v>1004</v>
      </c>
      <c r="V21" s="7"/>
      <c r="W21" s="8"/>
      <c r="X21" s="8"/>
    </row>
    <row r="22" spans="1:24" ht="17.25" customHeight="1" x14ac:dyDescent="0.25">
      <c r="A22" s="273"/>
      <c r="B22" s="9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99" t="str">
        <f>'SET SP Nataga'!$G13</f>
        <v>Entre 80% y 100%</v>
      </c>
      <c r="E24" s="300"/>
      <c r="F24" s="300"/>
      <c r="G24" s="301"/>
      <c r="H24" s="264" t="str">
        <f>'SET SP Nataga'!$H13</f>
        <v>Entre 60% y 79%</v>
      </c>
      <c r="I24" s="265"/>
      <c r="J24" s="265"/>
      <c r="K24" s="266"/>
      <c r="L24" s="264" t="str">
        <f>'SET SP Nataga'!$I13</f>
        <v>Menor al 59%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customHeight="1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customHeight="1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25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6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44:O44"/>
    <mergeCell ref="A6:E6"/>
    <mergeCell ref="F6:O6"/>
    <mergeCell ref="A1:C4"/>
    <mergeCell ref="D1:O1"/>
    <mergeCell ref="D4:O4"/>
    <mergeCell ref="A13:O13"/>
    <mergeCell ref="I9:I10"/>
    <mergeCell ref="A7:E7"/>
    <mergeCell ref="A5:E5"/>
    <mergeCell ref="F5:O5"/>
    <mergeCell ref="N10:O10"/>
    <mergeCell ref="F7:O7"/>
    <mergeCell ref="J9:K10"/>
    <mergeCell ref="L9:O9"/>
    <mergeCell ref="L10:M10"/>
    <mergeCell ref="A24:C25"/>
    <mergeCell ref="D24:G24"/>
    <mergeCell ref="A30:M30"/>
    <mergeCell ref="N30:O30"/>
    <mergeCell ref="A8:E8"/>
    <mergeCell ref="A9:D10"/>
    <mergeCell ref="E9:E10"/>
    <mergeCell ref="F9:G10"/>
    <mergeCell ref="H9:H10"/>
    <mergeCell ref="G8:O8"/>
    <mergeCell ref="A16:B16"/>
    <mergeCell ref="A11:D11"/>
    <mergeCell ref="F11:G11"/>
    <mergeCell ref="A12:O12"/>
    <mergeCell ref="A43:M43"/>
    <mergeCell ref="N43:O43"/>
    <mergeCell ref="A18:B18"/>
    <mergeCell ref="A19:B19"/>
    <mergeCell ref="A20:A23"/>
    <mergeCell ref="L24:O24"/>
    <mergeCell ref="D25:G25"/>
    <mergeCell ref="H25:K25"/>
    <mergeCell ref="L25:O25"/>
    <mergeCell ref="A26:O26"/>
    <mergeCell ref="A27:O27"/>
    <mergeCell ref="H24:K24"/>
    <mergeCell ref="A34:M34"/>
    <mergeCell ref="A35:M35"/>
    <mergeCell ref="A41:M41"/>
    <mergeCell ref="N41:O41"/>
    <mergeCell ref="A42:M42"/>
    <mergeCell ref="N42:O42"/>
    <mergeCell ref="N39:O39"/>
    <mergeCell ref="N40:O40"/>
    <mergeCell ref="A36:M36"/>
    <mergeCell ref="A37:M37"/>
    <mergeCell ref="A38:M38"/>
    <mergeCell ref="A39:M39"/>
    <mergeCell ref="A40:M40"/>
    <mergeCell ref="N34:O34"/>
    <mergeCell ref="N35:O35"/>
    <mergeCell ref="N36:O36"/>
    <mergeCell ref="N37:O37"/>
    <mergeCell ref="N38:O38"/>
    <mergeCell ref="D2:O2"/>
    <mergeCell ref="D3:O3"/>
    <mergeCell ref="N31:O31"/>
    <mergeCell ref="N32:O32"/>
    <mergeCell ref="N33:O33"/>
    <mergeCell ref="A31:M31"/>
    <mergeCell ref="A32:M32"/>
    <mergeCell ref="A33:M33"/>
    <mergeCell ref="J11:O11"/>
    <mergeCell ref="A28:M28"/>
    <mergeCell ref="N28:O28"/>
    <mergeCell ref="A29:M29"/>
    <mergeCell ref="N29:O29"/>
    <mergeCell ref="A17:B17"/>
    <mergeCell ref="A14:O14"/>
    <mergeCell ref="A15:O15"/>
  </mergeCells>
  <dataValidations count="1">
    <dataValidation type="list" allowBlank="1" showInputMessage="1" showErrorMessage="1" sqref="J11:O11" xr:uid="{00000000-0002-0000-06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10.140625" style="2" customWidth="1"/>
    <col min="4" max="11" width="7.7109375" style="2" customWidth="1"/>
    <col min="12" max="12" width="8.28515625" style="2" customWidth="1"/>
    <col min="13" max="15" width="7.7109375" style="2" customWidth="1"/>
    <col min="16" max="16" width="8.85546875" style="2" customWidth="1"/>
    <col min="17" max="18" width="8.85546875" style="2" hidden="1" customWidth="1"/>
    <col min="19" max="19" width="8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3.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5.7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2.7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Nataga'!$B14</f>
        <v xml:space="preserve">Cobertura   (Servicio de Aseo) 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Nataga'!F14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Nataga'!A14</f>
        <v>IN07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48.75" customHeight="1" thickBot="1" x14ac:dyDescent="0.3">
      <c r="A11" s="236" t="str">
        <f>'SET SP Nataga'!$C14</f>
        <v xml:space="preserve">Medir el grado de cobertura en   la prestación del servicio de aseo administrado  por Aguas del Huila. </v>
      </c>
      <c r="B11" s="237"/>
      <c r="C11" s="237"/>
      <c r="D11" s="237"/>
      <c r="E11" s="14" t="s">
        <v>35</v>
      </c>
      <c r="F11" s="237" t="str">
        <f>'SET SP Nataga'!$D14</f>
        <v xml:space="preserve">(Residuos sólidos recolectada / Residuos sólidos producidos) x 100%           </v>
      </c>
      <c r="G11" s="237"/>
      <c r="H11" s="19">
        <f>$O18</f>
        <v>1</v>
      </c>
      <c r="I11" s="13" t="str">
        <f>'SET SP Nataga'!$E14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18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52" t="s">
        <v>31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4"/>
      <c r="V14" s="7"/>
      <c r="W14" s="6"/>
      <c r="X14" s="6"/>
    </row>
    <row r="15" spans="1:24" ht="16.5" customHeight="1" x14ac:dyDescent="0.25">
      <c r="A15" s="255" t="str">
        <f>+'06'!A15:O15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99">
        <f t="shared" ref="C17:N17" si="0">$O$17</f>
        <v>0.95</v>
      </c>
      <c r="D17" s="99">
        <f t="shared" si="0"/>
        <v>0.95</v>
      </c>
      <c r="E17" s="99">
        <f t="shared" si="0"/>
        <v>0.95</v>
      </c>
      <c r="F17" s="99">
        <f t="shared" si="0"/>
        <v>0.95</v>
      </c>
      <c r="G17" s="99">
        <f t="shared" si="0"/>
        <v>0.95</v>
      </c>
      <c r="H17" s="99">
        <f t="shared" si="0"/>
        <v>0.95</v>
      </c>
      <c r="I17" s="99">
        <f t="shared" si="0"/>
        <v>0.95</v>
      </c>
      <c r="J17" s="99">
        <f t="shared" si="0"/>
        <v>0.95</v>
      </c>
      <c r="K17" s="99">
        <f t="shared" si="0"/>
        <v>0.95</v>
      </c>
      <c r="L17" s="99">
        <f t="shared" si="0"/>
        <v>0.95</v>
      </c>
      <c r="M17" s="99">
        <f t="shared" si="0"/>
        <v>0.95</v>
      </c>
      <c r="N17" s="99">
        <f t="shared" si="0"/>
        <v>0.95</v>
      </c>
      <c r="O17" s="105">
        <f>'SET SP Nataga'!J14</f>
        <v>0.95</v>
      </c>
      <c r="V17" s="7"/>
      <c r="W17" s="8"/>
      <c r="X17" s="8"/>
    </row>
    <row r="18" spans="1:24" ht="17.25" customHeight="1" x14ac:dyDescent="0.25">
      <c r="A18" s="267" t="str">
        <f>+'06'!A18:B18</f>
        <v>META  AÑO 2025</v>
      </c>
      <c r="B18" s="268"/>
      <c r="C18" s="99">
        <f t="shared" ref="C18:N18" si="1">$O$18</f>
        <v>1</v>
      </c>
      <c r="D18" s="99">
        <f t="shared" si="1"/>
        <v>1</v>
      </c>
      <c r="E18" s="99">
        <f t="shared" si="1"/>
        <v>1</v>
      </c>
      <c r="F18" s="99">
        <f t="shared" si="1"/>
        <v>1</v>
      </c>
      <c r="G18" s="99">
        <f t="shared" si="1"/>
        <v>1</v>
      </c>
      <c r="H18" s="99">
        <f t="shared" si="1"/>
        <v>1</v>
      </c>
      <c r="I18" s="99">
        <f t="shared" si="1"/>
        <v>1</v>
      </c>
      <c r="J18" s="99">
        <f t="shared" si="1"/>
        <v>1</v>
      </c>
      <c r="K18" s="99">
        <f t="shared" si="1"/>
        <v>1</v>
      </c>
      <c r="L18" s="99">
        <f t="shared" si="1"/>
        <v>1</v>
      </c>
      <c r="M18" s="99">
        <f t="shared" si="1"/>
        <v>1</v>
      </c>
      <c r="N18" s="99">
        <f t="shared" si="1"/>
        <v>1</v>
      </c>
      <c r="O18" s="105">
        <f>'SET SP Nataga'!K14</f>
        <v>1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 t="str">
        <f>IF(ISNUMBER(C21),C20/C21,"-")</f>
        <v>-</v>
      </c>
      <c r="D19" s="10" t="str">
        <f t="shared" ref="D19:O19" si="2">IF(ISNUMBER(D21),D20/D21,"-")</f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0.93127490039840632</v>
      </c>
      <c r="O19" s="11" t="str">
        <f t="shared" si="2"/>
        <v>-</v>
      </c>
      <c r="V19" s="7"/>
      <c r="W19" s="8"/>
      <c r="X19" s="8"/>
    </row>
    <row r="20" spans="1:24" ht="17.25" customHeight="1" x14ac:dyDescent="0.25">
      <c r="A20" s="273" t="s">
        <v>37</v>
      </c>
      <c r="B20" s="31" t="s">
        <v>136</v>
      </c>
      <c r="C20" s="3">
        <f>NATAGA2020!D36</f>
        <v>24.05</v>
      </c>
      <c r="D20" s="3">
        <f>NATAGA2020!E36</f>
        <v>26.82</v>
      </c>
      <c r="E20" s="3">
        <f>NATAGA2020!F36</f>
        <v>0</v>
      </c>
      <c r="F20" s="3">
        <f>NATAGA2020!G36</f>
        <v>0</v>
      </c>
      <c r="G20" s="3">
        <f>NATAGA2020!H36</f>
        <v>0</v>
      </c>
      <c r="H20" s="3">
        <f>NATAGA2020!I36</f>
        <v>0</v>
      </c>
      <c r="I20" s="3">
        <f>NATAGA2020!J36</f>
        <v>0</v>
      </c>
      <c r="J20" s="3">
        <f>NATAGA2020!K36</f>
        <v>0</v>
      </c>
      <c r="K20" s="3">
        <f>NATAGA2020!L36</f>
        <v>0</v>
      </c>
      <c r="L20" s="3">
        <f>NATAGA2020!M36</f>
        <v>0</v>
      </c>
      <c r="M20" s="3">
        <f>NATAGA2020!N36</f>
        <v>0</v>
      </c>
      <c r="N20" s="3">
        <f>NATAGA2020!O36</f>
        <v>41.83</v>
      </c>
      <c r="O20" s="16">
        <f>SUM(C20:N20)</f>
        <v>92.7</v>
      </c>
      <c r="V20" s="7"/>
      <c r="W20" s="8"/>
      <c r="X20" s="8"/>
    </row>
    <row r="21" spans="1:24" ht="17.25" customHeight="1" x14ac:dyDescent="0.25">
      <c r="A21" s="273"/>
      <c r="B21" s="31" t="s">
        <v>137</v>
      </c>
      <c r="C21" s="63" t="e">
        <f>IF(NATAGA2020!D55,C20/NATAGA2020!D55,"0")</f>
        <v>#VALUE!</v>
      </c>
      <c r="D21" s="63" t="e">
        <f>IF(NATAGA2020!E55,D20/NATAGA2020!E55,"0")</f>
        <v>#VALUE!</v>
      </c>
      <c r="E21" s="63" t="e">
        <f>IF(NATAGA2020!F55,E20/NATAGA2020!F55,"0")</f>
        <v>#VALUE!</v>
      </c>
      <c r="F21" s="63" t="e">
        <f>IF(NATAGA2020!G55,F20/NATAGA2020!G55,"0")</f>
        <v>#VALUE!</v>
      </c>
      <c r="G21" s="63" t="e">
        <f>IF(NATAGA2020!H55,G20/NATAGA2020!H55,"0")</f>
        <v>#VALUE!</v>
      </c>
      <c r="H21" s="63" t="e">
        <f>IF(NATAGA2020!I55,H20/NATAGA2020!I55,"0")</f>
        <v>#VALUE!</v>
      </c>
      <c r="I21" s="63" t="e">
        <f>IF(NATAGA2020!J55,I20/NATAGA2020!J55,"0")</f>
        <v>#VALUE!</v>
      </c>
      <c r="J21" s="63" t="e">
        <f>IF(NATAGA2020!K55,J20/NATAGA2020!K55,"0")</f>
        <v>#VALUE!</v>
      </c>
      <c r="K21" s="63" t="e">
        <f>IF(NATAGA2020!L55,K20/NATAGA2020!L55,"0")</f>
        <v>#VALUE!</v>
      </c>
      <c r="L21" s="63" t="e">
        <f>IF(NATAGA2020!M55,L20/NATAGA2020!M55,"0")</f>
        <v>#VALUE!</v>
      </c>
      <c r="M21" s="63" t="e">
        <f>IF(NATAGA2020!N55,M20/NATAGA2020!N55,"0")</f>
        <v>#VALUE!</v>
      </c>
      <c r="N21" s="63">
        <f>IF(NATAGA2020!O55,N20/NATAGA2020!O55,"0")</f>
        <v>44.916919786096258</v>
      </c>
      <c r="O21" s="16" t="e">
        <f>SUM(C21:N21)</f>
        <v>#VALUE!</v>
      </c>
      <c r="V21" s="7"/>
      <c r="W21" s="8"/>
      <c r="X21" s="8"/>
    </row>
    <row r="22" spans="1:24" ht="15" customHeight="1" x14ac:dyDescent="0.25">
      <c r="A22" s="302"/>
      <c r="B22" s="59"/>
      <c r="C22" s="62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3.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Nataga'!$G14</f>
        <v>Entre 80% y 100%</v>
      </c>
      <c r="E24" s="265"/>
      <c r="F24" s="265"/>
      <c r="G24" s="266"/>
      <c r="H24" s="264" t="str">
        <f>'SET SP Nataga'!$H14</f>
        <v>Entre 60% y 79%</v>
      </c>
      <c r="I24" s="265"/>
      <c r="J24" s="265"/>
      <c r="K24" s="266"/>
      <c r="L24" s="264" t="str">
        <f>'SET SP Nataga'!$I14</f>
        <v>Menor al 59%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25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6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0.92</v>
      </c>
    </row>
    <row r="61" spans="17:17" x14ac:dyDescent="0.25">
      <c r="Q61" s="22">
        <v>1</v>
      </c>
    </row>
  </sheetData>
  <mergeCells count="76">
    <mergeCell ref="A44:O44"/>
    <mergeCell ref="N10:O10"/>
    <mergeCell ref="A11:D11"/>
    <mergeCell ref="F11:G11"/>
    <mergeCell ref="L24:O24"/>
    <mergeCell ref="D25:G25"/>
    <mergeCell ref="H25:K25"/>
    <mergeCell ref="H24:K24"/>
    <mergeCell ref="A24:C25"/>
    <mergeCell ref="D24:G24"/>
    <mergeCell ref="I9:I10"/>
    <mergeCell ref="A30:M30"/>
    <mergeCell ref="N30:O30"/>
    <mergeCell ref="A41:M41"/>
    <mergeCell ref="N41:O41"/>
    <mergeCell ref="A42:M42"/>
    <mergeCell ref="H9:H10"/>
    <mergeCell ref="A7:E7"/>
    <mergeCell ref="A18:B18"/>
    <mergeCell ref="A19:B19"/>
    <mergeCell ref="A20:A23"/>
    <mergeCell ref="A17:B17"/>
    <mergeCell ref="N31:O31"/>
    <mergeCell ref="F7:O7"/>
    <mergeCell ref="A43:M43"/>
    <mergeCell ref="N43:O43"/>
    <mergeCell ref="D1:O1"/>
    <mergeCell ref="D4:O4"/>
    <mergeCell ref="A5:E5"/>
    <mergeCell ref="F5:O5"/>
    <mergeCell ref="A6:E6"/>
    <mergeCell ref="F6:O6"/>
    <mergeCell ref="A1:C4"/>
    <mergeCell ref="G8:O8"/>
    <mergeCell ref="A8:E8"/>
    <mergeCell ref="A9:D10"/>
    <mergeCell ref="E9:E10"/>
    <mergeCell ref="F9:G10"/>
    <mergeCell ref="J11:O11"/>
    <mergeCell ref="N42:O42"/>
    <mergeCell ref="A28:M28"/>
    <mergeCell ref="N28:O28"/>
    <mergeCell ref="A29:M29"/>
    <mergeCell ref="N29:O29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40:O40"/>
    <mergeCell ref="N32:O32"/>
    <mergeCell ref="N33:O33"/>
    <mergeCell ref="N34:O34"/>
    <mergeCell ref="N35:O35"/>
    <mergeCell ref="N36:O36"/>
    <mergeCell ref="D2:O2"/>
    <mergeCell ref="D3:O3"/>
    <mergeCell ref="N37:O37"/>
    <mergeCell ref="N38:O38"/>
    <mergeCell ref="N39:O39"/>
    <mergeCell ref="A27:O27"/>
    <mergeCell ref="L25:O25"/>
    <mergeCell ref="A26:O26"/>
    <mergeCell ref="A13:O13"/>
    <mergeCell ref="A14:O14"/>
    <mergeCell ref="A15:O15"/>
    <mergeCell ref="A16:B16"/>
    <mergeCell ref="J9:K10"/>
    <mergeCell ref="L9:O9"/>
    <mergeCell ref="L10:M10"/>
    <mergeCell ref="A12:O12"/>
  </mergeCells>
  <dataValidations disablePrompts="1" count="1">
    <dataValidation type="list" allowBlank="1" showInputMessage="1" showErrorMessage="1" sqref="J11:O11" xr:uid="{00000000-0002-0000-07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X61"/>
  <sheetViews>
    <sheetView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5703125" style="2" customWidth="1"/>
    <col min="17" max="18" width="6.5703125" style="2" hidden="1" customWidth="1"/>
    <col min="19" max="20" width="6.5703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" customHeight="1" x14ac:dyDescent="0.25">
      <c r="A1" s="205"/>
      <c r="B1" s="206"/>
      <c r="C1" s="206"/>
      <c r="D1" s="189" t="s">
        <v>247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</row>
    <row r="2" spans="1:24" ht="13.5" customHeight="1" x14ac:dyDescent="0.25">
      <c r="A2" s="207"/>
      <c r="B2" s="208"/>
      <c r="C2" s="208"/>
      <c r="D2" s="326" t="s">
        <v>273</v>
      </c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8"/>
    </row>
    <row r="3" spans="1:24" ht="14.25" customHeight="1" x14ac:dyDescent="0.25">
      <c r="A3" s="207"/>
      <c r="B3" s="208"/>
      <c r="C3" s="208"/>
      <c r="D3" s="329" t="s">
        <v>20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1"/>
    </row>
    <row r="4" spans="1:24" ht="13.5" customHeight="1" thickBot="1" x14ac:dyDescent="0.3">
      <c r="A4" s="209"/>
      <c r="B4" s="210"/>
      <c r="C4" s="210"/>
      <c r="D4" s="202" t="s">
        <v>272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4"/>
    </row>
    <row r="5" spans="1:24" ht="13.5" customHeight="1" x14ac:dyDescent="0.25">
      <c r="A5" s="211" t="s">
        <v>0</v>
      </c>
      <c r="B5" s="212"/>
      <c r="C5" s="212"/>
      <c r="D5" s="212"/>
      <c r="E5" s="212"/>
      <c r="F5" s="212" t="str">
        <f>'SET SP Nataga'!J5</f>
        <v>GESTIÓN DE SERVICIOS PÚBLICOS - NATAGA</v>
      </c>
      <c r="G5" s="212"/>
      <c r="H5" s="212"/>
      <c r="I5" s="212"/>
      <c r="J5" s="212"/>
      <c r="K5" s="212"/>
      <c r="L5" s="212"/>
      <c r="M5" s="212"/>
      <c r="N5" s="212"/>
      <c r="O5" s="213"/>
    </row>
    <row r="6" spans="1:24" ht="15.75" customHeight="1" x14ac:dyDescent="0.25">
      <c r="A6" s="214" t="s">
        <v>1</v>
      </c>
      <c r="B6" s="215"/>
      <c r="C6" s="215"/>
      <c r="D6" s="215"/>
      <c r="E6" s="215"/>
      <c r="F6" s="216" t="str">
        <f>'SET SP Nataga'!$B15</f>
        <v>Cobertura de medición</v>
      </c>
      <c r="G6" s="216"/>
      <c r="H6" s="216"/>
      <c r="I6" s="216"/>
      <c r="J6" s="216"/>
      <c r="K6" s="216"/>
      <c r="L6" s="216"/>
      <c r="M6" s="216"/>
      <c r="N6" s="216"/>
      <c r="O6" s="282"/>
    </row>
    <row r="7" spans="1:24" ht="15.75" customHeight="1" x14ac:dyDescent="0.25">
      <c r="A7" s="214" t="s">
        <v>55</v>
      </c>
      <c r="B7" s="215"/>
      <c r="C7" s="215"/>
      <c r="D7" s="215"/>
      <c r="E7" s="215"/>
      <c r="F7" s="233" t="str">
        <f>'SET SP Nataga'!F15</f>
        <v xml:space="preserve">Eficiencia </v>
      </c>
      <c r="G7" s="234"/>
      <c r="H7" s="234"/>
      <c r="I7" s="234"/>
      <c r="J7" s="234"/>
      <c r="K7" s="234"/>
      <c r="L7" s="234"/>
      <c r="M7" s="234"/>
      <c r="N7" s="234"/>
      <c r="O7" s="235"/>
    </row>
    <row r="8" spans="1:24" ht="17.25" customHeight="1" thickBot="1" x14ac:dyDescent="0.3">
      <c r="A8" s="219" t="s">
        <v>21</v>
      </c>
      <c r="B8" s="220"/>
      <c r="C8" s="220"/>
      <c r="D8" s="220"/>
      <c r="E8" s="220"/>
      <c r="F8" s="23" t="s">
        <v>93</v>
      </c>
      <c r="G8" s="221" t="str">
        <f>'SET SP Nataga'!A15</f>
        <v>IN08</v>
      </c>
      <c r="H8" s="221"/>
      <c r="I8" s="221"/>
      <c r="J8" s="221"/>
      <c r="K8" s="221"/>
      <c r="L8" s="221"/>
      <c r="M8" s="221"/>
      <c r="N8" s="221"/>
      <c r="O8" s="286"/>
    </row>
    <row r="9" spans="1:24" ht="12.75" customHeight="1" x14ac:dyDescent="0.25">
      <c r="A9" s="224" t="s">
        <v>22</v>
      </c>
      <c r="B9" s="225"/>
      <c r="C9" s="225"/>
      <c r="D9" s="225"/>
      <c r="E9" s="228" t="s">
        <v>23</v>
      </c>
      <c r="F9" s="228" t="s">
        <v>24</v>
      </c>
      <c r="G9" s="228"/>
      <c r="H9" s="228" t="s">
        <v>25</v>
      </c>
      <c r="I9" s="228" t="s">
        <v>26</v>
      </c>
      <c r="J9" s="228" t="s">
        <v>27</v>
      </c>
      <c r="K9" s="228"/>
      <c r="L9" s="230" t="s">
        <v>28</v>
      </c>
      <c r="M9" s="230"/>
      <c r="N9" s="230"/>
      <c r="O9" s="231"/>
    </row>
    <row r="10" spans="1:24" ht="46.5" customHeight="1" x14ac:dyDescent="0.25">
      <c r="A10" s="226"/>
      <c r="B10" s="227"/>
      <c r="C10" s="227"/>
      <c r="D10" s="227"/>
      <c r="E10" s="229"/>
      <c r="F10" s="229"/>
      <c r="G10" s="229"/>
      <c r="H10" s="229"/>
      <c r="I10" s="229"/>
      <c r="J10" s="229"/>
      <c r="K10" s="229"/>
      <c r="L10" s="227" t="s">
        <v>29</v>
      </c>
      <c r="M10" s="227"/>
      <c r="N10" s="227" t="s">
        <v>30</v>
      </c>
      <c r="O10" s="232"/>
    </row>
    <row r="11" spans="1:24" ht="59.25" customHeight="1" thickBot="1" x14ac:dyDescent="0.3">
      <c r="A11" s="236" t="str">
        <f>'SET SP Nataga'!$C15</f>
        <v>Lograr que los suscriptores del servicio de acueducto de Aguas del Huila, tengan su instrumento medición.</v>
      </c>
      <c r="B11" s="237"/>
      <c r="C11" s="237"/>
      <c r="D11" s="237"/>
      <c r="E11" s="14" t="s">
        <v>35</v>
      </c>
      <c r="F11" s="303" t="str">
        <f>'SET SP Nataga'!$D15</f>
        <v xml:space="preserve">(Número de Medidores en servicio / Número de Suscriptores) x 100%          </v>
      </c>
      <c r="G11" s="304"/>
      <c r="H11" s="19">
        <f>$O18</f>
        <v>0.98</v>
      </c>
      <c r="I11" s="13" t="str">
        <f>'SET SP Nataga'!$E15</f>
        <v>Trimestral</v>
      </c>
      <c r="J11" s="238" t="s">
        <v>88</v>
      </c>
      <c r="K11" s="239"/>
      <c r="L11" s="239"/>
      <c r="M11" s="239"/>
      <c r="N11" s="239"/>
      <c r="O11" s="240"/>
    </row>
    <row r="12" spans="1:24" ht="13.5" customHeight="1" x14ac:dyDescent="0.25">
      <c r="A12" s="246" t="s">
        <v>38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1:24" ht="24.75" customHeight="1" thickBot="1" x14ac:dyDescent="0.3">
      <c r="A13" s="249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1"/>
    </row>
    <row r="14" spans="1:24" ht="15" customHeight="1" thickBot="1" x14ac:dyDescent="0.3">
      <c r="A14" s="296" t="s">
        <v>31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8"/>
      <c r="V14" s="7"/>
      <c r="W14" s="6"/>
      <c r="X14" s="6"/>
    </row>
    <row r="15" spans="1:24" ht="16.5" customHeight="1" x14ac:dyDescent="0.25">
      <c r="A15" s="255" t="str">
        <f>+'07'!A15:O15</f>
        <v>VIGENCIA 2025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7"/>
      <c r="V15" s="7"/>
      <c r="W15" s="8"/>
      <c r="X15" s="8"/>
    </row>
    <row r="16" spans="1:24" ht="16.5" customHeight="1" x14ac:dyDescent="0.25">
      <c r="A16" s="258" t="s">
        <v>32</v>
      </c>
      <c r="B16" s="259"/>
      <c r="C16" s="96" t="s">
        <v>8</v>
      </c>
      <c r="D16" s="96" t="s">
        <v>9</v>
      </c>
      <c r="E16" s="96" t="s">
        <v>10</v>
      </c>
      <c r="F16" s="96" t="s">
        <v>11</v>
      </c>
      <c r="G16" s="96" t="s">
        <v>12</v>
      </c>
      <c r="H16" s="96" t="s">
        <v>13</v>
      </c>
      <c r="I16" s="96" t="s">
        <v>14</v>
      </c>
      <c r="J16" s="96" t="s">
        <v>15</v>
      </c>
      <c r="K16" s="96" t="s">
        <v>16</v>
      </c>
      <c r="L16" s="96" t="s">
        <v>17</v>
      </c>
      <c r="M16" s="96" t="s">
        <v>18</v>
      </c>
      <c r="N16" s="9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7" t="s">
        <v>39</v>
      </c>
      <c r="B17" s="268"/>
      <c r="C17" s="99">
        <f t="shared" ref="C17:N17" si="0">$O$17</f>
        <v>0.96</v>
      </c>
      <c r="D17" s="99">
        <f t="shared" si="0"/>
        <v>0.96</v>
      </c>
      <c r="E17" s="99">
        <f t="shared" si="0"/>
        <v>0.96</v>
      </c>
      <c r="F17" s="99">
        <f t="shared" si="0"/>
        <v>0.96</v>
      </c>
      <c r="G17" s="99">
        <f t="shared" si="0"/>
        <v>0.96</v>
      </c>
      <c r="H17" s="99">
        <f t="shared" si="0"/>
        <v>0.96</v>
      </c>
      <c r="I17" s="99">
        <f t="shared" si="0"/>
        <v>0.96</v>
      </c>
      <c r="J17" s="99">
        <f t="shared" si="0"/>
        <v>0.96</v>
      </c>
      <c r="K17" s="99">
        <f t="shared" si="0"/>
        <v>0.96</v>
      </c>
      <c r="L17" s="99">
        <f t="shared" si="0"/>
        <v>0.96</v>
      </c>
      <c r="M17" s="99">
        <f t="shared" si="0"/>
        <v>0.96</v>
      </c>
      <c r="N17" s="99">
        <f t="shared" si="0"/>
        <v>0.96</v>
      </c>
      <c r="O17" s="104">
        <f>'SET SP Nataga'!J15</f>
        <v>0.96</v>
      </c>
      <c r="V17" s="7"/>
      <c r="W17" s="8"/>
      <c r="X17" s="8"/>
    </row>
    <row r="18" spans="1:24" ht="17.25" customHeight="1" x14ac:dyDescent="0.25">
      <c r="A18" s="267" t="str">
        <f>+'07'!A18:B18</f>
        <v>META  AÑO 2025</v>
      </c>
      <c r="B18" s="268"/>
      <c r="C18" s="99">
        <f t="shared" ref="C18:N18" si="1">$O$18</f>
        <v>0.98</v>
      </c>
      <c r="D18" s="99">
        <f t="shared" si="1"/>
        <v>0.98</v>
      </c>
      <c r="E18" s="99">
        <f t="shared" si="1"/>
        <v>0.98</v>
      </c>
      <c r="F18" s="99">
        <f t="shared" si="1"/>
        <v>0.98</v>
      </c>
      <c r="G18" s="99">
        <f t="shared" si="1"/>
        <v>0.98</v>
      </c>
      <c r="H18" s="99">
        <f t="shared" si="1"/>
        <v>0.98</v>
      </c>
      <c r="I18" s="99">
        <f t="shared" si="1"/>
        <v>0.98</v>
      </c>
      <c r="J18" s="99">
        <f t="shared" si="1"/>
        <v>0.98</v>
      </c>
      <c r="K18" s="99">
        <f t="shared" si="1"/>
        <v>0.98</v>
      </c>
      <c r="L18" s="99">
        <f t="shared" si="1"/>
        <v>0.98</v>
      </c>
      <c r="M18" s="99">
        <f t="shared" si="1"/>
        <v>0.98</v>
      </c>
      <c r="N18" s="99">
        <f t="shared" si="1"/>
        <v>0.98</v>
      </c>
      <c r="O18" s="104">
        <f>'SET SP Nataga'!K15</f>
        <v>0.98</v>
      </c>
      <c r="V18" s="7"/>
      <c r="W18" s="8"/>
      <c r="X18" s="8"/>
    </row>
    <row r="19" spans="1:24" ht="17.25" customHeight="1" x14ac:dyDescent="0.25">
      <c r="A19" s="271" t="s">
        <v>260</v>
      </c>
      <c r="B19" s="272"/>
      <c r="C19" s="10">
        <f>IF((C21),C20/C21,"-")</f>
        <v>0.99273858921161828</v>
      </c>
      <c r="D19" s="10">
        <f>IF((D21),D20/D21,"-")</f>
        <v>0.99168399168399168</v>
      </c>
      <c r="E19" s="10">
        <f>IF((E21),E20/E21,"-")</f>
        <v>0.98961578400830741</v>
      </c>
      <c r="F19" s="10">
        <f>IF((F21),F20/F21,"-")</f>
        <v>0.98762886597938149</v>
      </c>
      <c r="G19" s="10" t="str">
        <f t="shared" ref="G19:O19" si="2">IF((G21),G20/G21,"-")</f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1</v>
      </c>
      <c r="O19" s="11">
        <f t="shared" si="2"/>
        <v>0.99238996297819826</v>
      </c>
      <c r="V19" s="7"/>
      <c r="W19" s="8"/>
      <c r="X19" s="8"/>
    </row>
    <row r="20" spans="1:24" ht="16.5" customHeight="1" x14ac:dyDescent="0.25">
      <c r="A20" s="273" t="s">
        <v>37</v>
      </c>
      <c r="B20" s="31" t="s">
        <v>138</v>
      </c>
      <c r="C20" s="20">
        <f>+NATAGA2020!D38</f>
        <v>957</v>
      </c>
      <c r="D20" s="20">
        <f>+NATAGA2020!E38</f>
        <v>954</v>
      </c>
      <c r="E20" s="20">
        <f>+NATAGA2020!F38</f>
        <v>953</v>
      </c>
      <c r="F20" s="20">
        <f>+NATAGA2020!G38</f>
        <v>958</v>
      </c>
      <c r="G20" s="20">
        <f>+NATAGA2020!H38</f>
        <v>0</v>
      </c>
      <c r="H20" s="20">
        <f>+NATAGA2020!I38</f>
        <v>0</v>
      </c>
      <c r="I20" s="20">
        <f>+NATAGA2020!J38</f>
        <v>0</v>
      </c>
      <c r="J20" s="20">
        <f>+J21</f>
        <v>0</v>
      </c>
      <c r="K20" s="20">
        <f>+K21</f>
        <v>0</v>
      </c>
      <c r="L20" s="20">
        <f>+L21</f>
        <v>0</v>
      </c>
      <c r="M20" s="20">
        <f>+M21</f>
        <v>0</v>
      </c>
      <c r="N20" s="20">
        <f>+N21</f>
        <v>1003</v>
      </c>
      <c r="O20" s="21">
        <f>SUM(C20:N20)</f>
        <v>4825</v>
      </c>
      <c r="V20" s="7"/>
      <c r="W20" s="8"/>
      <c r="X20" s="8"/>
    </row>
    <row r="21" spans="1:24" ht="14.25" customHeight="1" x14ac:dyDescent="0.25">
      <c r="A21" s="273"/>
      <c r="B21" s="31" t="s">
        <v>134</v>
      </c>
      <c r="C21" s="20">
        <f>+'05'!C20</f>
        <v>964</v>
      </c>
      <c r="D21" s="20">
        <f>+'05'!D20</f>
        <v>962</v>
      </c>
      <c r="E21" s="20">
        <f>+'05'!E20</f>
        <v>963</v>
      </c>
      <c r="F21" s="20">
        <f>+'05'!F20</f>
        <v>970</v>
      </c>
      <c r="G21" s="20">
        <f>+'05'!G20</f>
        <v>0</v>
      </c>
      <c r="H21" s="20">
        <f>+'05'!H20</f>
        <v>0</v>
      </c>
      <c r="I21" s="20">
        <f>+'05'!I20</f>
        <v>0</v>
      </c>
      <c r="J21" s="20">
        <f>+'05'!J20</f>
        <v>0</v>
      </c>
      <c r="K21" s="20">
        <f>+'05'!K20</f>
        <v>0</v>
      </c>
      <c r="L21" s="20">
        <f>+'05'!L20</f>
        <v>0</v>
      </c>
      <c r="M21" s="20">
        <f>+'05'!M20</f>
        <v>0</v>
      </c>
      <c r="N21" s="20">
        <f>+'05'!N20</f>
        <v>1003</v>
      </c>
      <c r="O21" s="21">
        <f>SUM(C21:N21)</f>
        <v>4862</v>
      </c>
      <c r="V21" s="7"/>
      <c r="W21" s="8"/>
      <c r="X21" s="8"/>
    </row>
    <row r="22" spans="1:24" ht="14.25" customHeight="1" x14ac:dyDescent="0.25">
      <c r="A22" s="302"/>
      <c r="B22" s="59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4.25" customHeight="1" thickBot="1" x14ac:dyDescent="0.3">
      <c r="A23" s="274"/>
      <c r="B23" s="9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5" t="s">
        <v>34</v>
      </c>
      <c r="B24" s="276"/>
      <c r="C24" s="277"/>
      <c r="D24" s="264" t="str">
        <f>'SET SP Nataga'!$G15</f>
        <v>Entre 80% y 100%</v>
      </c>
      <c r="E24" s="265"/>
      <c r="F24" s="265"/>
      <c r="G24" s="266"/>
      <c r="H24" s="264" t="str">
        <f>'SET SP Nataga'!$H15</f>
        <v>Entre 60% y 79%</v>
      </c>
      <c r="I24" s="265"/>
      <c r="J24" s="265"/>
      <c r="K24" s="266"/>
      <c r="L24" s="264" t="str">
        <f>'SET SP Nataga'!$I15</f>
        <v>Menor al 59%</v>
      </c>
      <c r="M24" s="269"/>
      <c r="N24" s="269"/>
      <c r="O24" s="270"/>
      <c r="V24" s="7"/>
      <c r="W24" s="8"/>
      <c r="X24" s="8"/>
    </row>
    <row r="25" spans="1:24" ht="33" customHeight="1" thickBot="1" x14ac:dyDescent="0.3">
      <c r="A25" s="278"/>
      <c r="B25" s="279"/>
      <c r="C25" s="279"/>
      <c r="D25" s="280" t="s">
        <v>7</v>
      </c>
      <c r="E25" s="280"/>
      <c r="F25" s="280"/>
      <c r="G25" s="280"/>
      <c r="H25" s="281" t="s">
        <v>61</v>
      </c>
      <c r="I25" s="281"/>
      <c r="J25" s="281"/>
      <c r="K25" s="281"/>
      <c r="L25" s="241" t="s">
        <v>62</v>
      </c>
      <c r="M25" s="241"/>
      <c r="N25" s="241"/>
      <c r="O25" s="242"/>
      <c r="V25" s="7"/>
      <c r="W25" s="8"/>
      <c r="X25" s="8"/>
    </row>
    <row r="26" spans="1:24" ht="15.75" customHeight="1" thickBot="1" x14ac:dyDescent="0.3">
      <c r="A26" s="243" t="s">
        <v>36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  <c r="V26" s="7"/>
      <c r="W26" s="8"/>
      <c r="X26" s="8"/>
    </row>
    <row r="27" spans="1:24" ht="264.75" customHeight="1" thickBot="1" x14ac:dyDescent="0.3">
      <c r="A27" s="261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V27" s="7"/>
    </row>
    <row r="28" spans="1:24" ht="15" customHeight="1" x14ac:dyDescent="0.25">
      <c r="A28" s="198" t="s">
        <v>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 t="s">
        <v>60</v>
      </c>
      <c r="O28" s="201"/>
    </row>
    <row r="29" spans="1:24" ht="15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6">
        <v>45658</v>
      </c>
      <c r="O29" s="197"/>
    </row>
    <row r="30" spans="1:24" ht="15" x14ac:dyDescent="0.25">
      <c r="A30" s="19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6">
        <v>45689</v>
      </c>
      <c r="O30" s="197"/>
    </row>
    <row r="31" spans="1:24" ht="15" x14ac:dyDescent="0.25">
      <c r="A31" s="192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6">
        <v>45717</v>
      </c>
      <c r="O31" s="197"/>
    </row>
    <row r="32" spans="1:24" ht="15" x14ac:dyDescent="0.25">
      <c r="A32" s="192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6">
        <v>45748</v>
      </c>
      <c r="O32" s="197"/>
    </row>
    <row r="33" spans="1:17" ht="15" x14ac:dyDescent="0.25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6">
        <v>45778</v>
      </c>
      <c r="O33" s="197"/>
    </row>
    <row r="34" spans="1:17" ht="15" x14ac:dyDescent="0.2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6">
        <v>45809</v>
      </c>
      <c r="O34" s="197"/>
    </row>
    <row r="35" spans="1:17" ht="15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6">
        <v>45839</v>
      </c>
      <c r="O35" s="197"/>
    </row>
    <row r="36" spans="1:17" ht="15" x14ac:dyDescent="0.25">
      <c r="A36" s="192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6">
        <v>45870</v>
      </c>
      <c r="O36" s="197"/>
    </row>
    <row r="37" spans="1:17" ht="15" x14ac:dyDescent="0.2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6">
        <v>45901</v>
      </c>
      <c r="O37" s="197"/>
    </row>
    <row r="38" spans="1:17" ht="15" x14ac:dyDescent="0.2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6">
        <v>45931</v>
      </c>
      <c r="O38" s="197"/>
    </row>
    <row r="39" spans="1:17" ht="15" x14ac:dyDescent="0.2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6">
        <v>45962</v>
      </c>
      <c r="O39" s="197"/>
    </row>
    <row r="40" spans="1:17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6">
        <v>45992</v>
      </c>
      <c r="O40" s="197"/>
    </row>
    <row r="41" spans="1:17" ht="25.5" customHeight="1" x14ac:dyDescent="0.25">
      <c r="A41" s="198" t="s">
        <v>59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 t="s">
        <v>60</v>
      </c>
      <c r="O41" s="201"/>
    </row>
    <row r="42" spans="1:17" ht="15" x14ac:dyDescent="0.25">
      <c r="A42" s="192" t="s">
        <v>3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 t="s">
        <v>3</v>
      </c>
      <c r="O42" s="195"/>
    </row>
    <row r="43" spans="1:17" ht="15.75" thickBot="1" x14ac:dyDescent="0.3">
      <c r="A43" s="293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</row>
    <row r="44" spans="1:17" ht="3.75" customHeight="1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0.88</v>
      </c>
    </row>
    <row r="61" spans="17:17" x14ac:dyDescent="0.25">
      <c r="Q61" s="22">
        <v>0.9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L25:O25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34:M34"/>
    <mergeCell ref="A35:M35"/>
    <mergeCell ref="A30:M30"/>
    <mergeCell ref="N30:O30"/>
    <mergeCell ref="D1:O1"/>
    <mergeCell ref="D4:O4"/>
    <mergeCell ref="A5:E5"/>
    <mergeCell ref="F5:O5"/>
    <mergeCell ref="A6:E6"/>
    <mergeCell ref="F6:O6"/>
    <mergeCell ref="A1:C4"/>
    <mergeCell ref="N10:O10"/>
    <mergeCell ref="A11:D11"/>
    <mergeCell ref="F11:G11"/>
    <mergeCell ref="L24:O24"/>
    <mergeCell ref="D25:G25"/>
    <mergeCell ref="N39:O39"/>
    <mergeCell ref="N40:O40"/>
    <mergeCell ref="A36:M36"/>
    <mergeCell ref="A37:M37"/>
    <mergeCell ref="A38:M38"/>
    <mergeCell ref="A39:M39"/>
    <mergeCell ref="A40:M40"/>
    <mergeCell ref="N34:O34"/>
    <mergeCell ref="N35:O35"/>
    <mergeCell ref="N36:O36"/>
    <mergeCell ref="N37:O37"/>
    <mergeCell ref="N38:O38"/>
    <mergeCell ref="D2:O2"/>
    <mergeCell ref="D3:O3"/>
    <mergeCell ref="N31:O31"/>
    <mergeCell ref="N32:O32"/>
    <mergeCell ref="N33:O33"/>
    <mergeCell ref="A31:M31"/>
    <mergeCell ref="A32:M32"/>
    <mergeCell ref="A33:M33"/>
    <mergeCell ref="H25:K25"/>
    <mergeCell ref="A13:O13"/>
    <mergeCell ref="A16:B16"/>
    <mergeCell ref="I9:I10"/>
    <mergeCell ref="J9:K10"/>
    <mergeCell ref="L9:O9"/>
    <mergeCell ref="L10:M10"/>
    <mergeCell ref="H9:H10"/>
  </mergeCells>
  <dataValidations count="1">
    <dataValidation type="list" allowBlank="1" showInputMessage="1" showErrorMessage="1" sqref="J11:O11" xr:uid="{00000000-0002-0000-08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SET SP Nataga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NATAGA2020</vt:lpstr>
      <vt:lpstr>NATAGA2020!Área_de_impresión</vt:lpstr>
      <vt:lpstr>'SET SP Nataga'!Títulos_a_imprimir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2015-08-17T02:32:09Z</cp:lastPrinted>
  <dcterms:created xsi:type="dcterms:W3CDTF">2010-03-16T20:37:23Z</dcterms:created>
  <dcterms:modified xsi:type="dcterms:W3CDTF">2026-07-02T15:24:42Z</dcterms:modified>
</cp:coreProperties>
</file>